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SDAQ" sheetId="1" r:id="rId4"/>
    <sheet state="visible" name="NYSE" sheetId="2" r:id="rId5"/>
    <sheet state="visible" name="AMEX" sheetId="3" r:id="rId6"/>
    <sheet state="visible" name="NASDAQ (raw)" sheetId="4" r:id="rId7"/>
    <sheet state="visible" name="NYSE (raw)" sheetId="5" r:id="rId8"/>
    <sheet state="visible" name="AMEX (raw)" sheetId="6" r:id="rId9"/>
    <sheet state="visible" name="Invalid" sheetId="7" r:id="rId10"/>
  </sheets>
  <definedNames/>
  <calcPr/>
</workbook>
</file>

<file path=xl/sharedStrings.xml><?xml version="1.0" encoding="utf-8"?>
<sst xmlns="http://schemas.openxmlformats.org/spreadsheetml/2006/main" count="15473" uniqueCount="15463">
  <si>
    <t>AACG</t>
  </si>
  <si>
    <t>ATA Creativity Global American Depositary Shares</t>
  </si>
  <si>
    <t>AAL</t>
  </si>
  <si>
    <t>American Airlines Group Inc. Common Stock</t>
  </si>
  <si>
    <t>AAME</t>
  </si>
  <si>
    <t>Atlantic American Corporation Common Stock</t>
  </si>
  <si>
    <t>AAOI</t>
  </si>
  <si>
    <t>Applied Optoelectronics Inc. Common Stock</t>
  </si>
  <si>
    <t>AAON</t>
  </si>
  <si>
    <t>AAON Inc. Common Stock</t>
  </si>
  <si>
    <t>AAPL</t>
  </si>
  <si>
    <t>Apple Inc. Common Stock</t>
  </si>
  <si>
    <t>AATC</t>
  </si>
  <si>
    <t>Autoscope Technologies Corporation Common Stock</t>
  </si>
  <si>
    <t>AAWW</t>
  </si>
  <si>
    <t>Atlas Air Worldwide Holdings NEW Common Stock</t>
  </si>
  <si>
    <t>ABCB</t>
  </si>
  <si>
    <t>Ameris Bancorp Common Stock</t>
  </si>
  <si>
    <t>ABCL</t>
  </si>
  <si>
    <t>AbCellera Biologics Inc. Common Shares</t>
  </si>
  <si>
    <t>ABCM</t>
  </si>
  <si>
    <t>Abcam plc American Depositary Shares</t>
  </si>
  <si>
    <t>ABEO</t>
  </si>
  <si>
    <t>Abeona Therapeutics Inc. Common Stock</t>
  </si>
  <si>
    <t>ABGI</t>
  </si>
  <si>
    <t>ABG Acquisition Corp. I Class A Ordinary Shares</t>
  </si>
  <si>
    <t>ABIO</t>
  </si>
  <si>
    <t>ARCA biopharma Inc. Common Stock</t>
  </si>
  <si>
    <t>ABMD</t>
  </si>
  <si>
    <t>ABIOMED Inc. Common Stock</t>
  </si>
  <si>
    <t>ABNB</t>
  </si>
  <si>
    <t>Airbnb Inc. Class A Common Stock</t>
  </si>
  <si>
    <t>ABOS</t>
  </si>
  <si>
    <t>Acumen Pharmaceuticals Inc. Common Stock</t>
  </si>
  <si>
    <t>ABSI</t>
  </si>
  <si>
    <t>Absci Corporation Common Stock</t>
  </si>
  <si>
    <t>ABST</t>
  </si>
  <si>
    <t>Absolute Software Corporation Common Stock</t>
  </si>
  <si>
    <t>ABTX</t>
  </si>
  <si>
    <t>Allegiance Bancshares Inc. Common Stock</t>
  </si>
  <si>
    <t>ABUS</t>
  </si>
  <si>
    <t>Arbutus Biopharma Corporation Common Stock</t>
  </si>
  <si>
    <t>ABVC</t>
  </si>
  <si>
    <t>ABVC Biopharma Inc. Common Stock</t>
  </si>
  <si>
    <t>ACAD</t>
  </si>
  <si>
    <t>ACADIA Pharmaceuticals Inc. Common Stock</t>
  </si>
  <si>
    <t>ACAH</t>
  </si>
  <si>
    <t>Atlantic Coastal Acquisition Corp. Class A Common Stock</t>
  </si>
  <si>
    <t>ACAHU</t>
  </si>
  <si>
    <t>Atlantic Coastal Acquisition Corp. Unit</t>
  </si>
  <si>
    <t>ACAHW</t>
  </si>
  <si>
    <t>Atlantic Coastal Acquisition Corp. Warrant</t>
  </si>
  <si>
    <t>ACB</t>
  </si>
  <si>
    <t>Aurora Cannabis Inc. Common Shares</t>
  </si>
  <si>
    <t>ACBAU</t>
  </si>
  <si>
    <t>Ace Global Business Acquisition Limited Unit</t>
  </si>
  <si>
    <t>ACBI</t>
  </si>
  <si>
    <t>Atlantic Capital Bancshares Inc. Common Stock</t>
  </si>
  <si>
    <t>ACCD</t>
  </si>
  <si>
    <t>Accolade Inc. Common Stock</t>
  </si>
  <si>
    <t>ACER</t>
  </si>
  <si>
    <t>Acer Therapeutics Inc. Common Stock (DE)</t>
  </si>
  <si>
    <t>ACET</t>
  </si>
  <si>
    <t>Adicet Bio Inc. Common Stock</t>
  </si>
  <si>
    <t>ACEV</t>
  </si>
  <si>
    <t>ACE Convergence Acquisition Corp. Class A Ordinary Shares</t>
  </si>
  <si>
    <t>ACEVU</t>
  </si>
  <si>
    <t>ACE Convergence Acquisition Corp. Unit</t>
  </si>
  <si>
    <t>ACEVW</t>
  </si>
  <si>
    <t>ACE Convergence Acquisition Corp. Warrant</t>
  </si>
  <si>
    <t>ACGL</t>
  </si>
  <si>
    <t>Arch Capital Group Ltd. Common Stock</t>
  </si>
  <si>
    <t>ACGLN</t>
  </si>
  <si>
    <t>Arch Capital Group Ltd. Depositary Shares each Representing a 1/1000th Interest in a 4.550% Non-Cumulative Preferred Share Series G</t>
  </si>
  <si>
    <t>ACGLO</t>
  </si>
  <si>
    <t>Arch Capital Group Ltd. Depositary Shares Each Representing 1/1000th Interest in a Share of 5.45% Non-Cumulative Preferred Shares Series F</t>
  </si>
  <si>
    <t>ACGLP</t>
  </si>
  <si>
    <t>Arch Capital Group Ltd. Depositary Shares Representing Interest in 5.25% Non-Cumulative Preferred Series E Shrs</t>
  </si>
  <si>
    <t>ACHC</t>
  </si>
  <si>
    <t>Acadia Healthcare Company Inc. Common Stock</t>
  </si>
  <si>
    <t>ACHL</t>
  </si>
  <si>
    <t>Achilles Therapeutics plc American Depositary Shares</t>
  </si>
  <si>
    <t>ACHV</t>
  </si>
  <si>
    <t>Achieve Life Sciences Inc. Common Shares</t>
  </si>
  <si>
    <t>ACIU</t>
  </si>
  <si>
    <t>AC Immune SA Common Stock</t>
  </si>
  <si>
    <t>ACIW</t>
  </si>
  <si>
    <t>ACI Worldwide Inc. Common Stock</t>
  </si>
  <si>
    <t>ACKIT</t>
  </si>
  <si>
    <t>Ackrell SPAC Partners I Co. Subunits</t>
  </si>
  <si>
    <t>ACKIU</t>
  </si>
  <si>
    <t>Ackrell SPAC Partners I Co. Units</t>
  </si>
  <si>
    <t>ACKIW</t>
  </si>
  <si>
    <t>Ackrell SPAC Partners I Co. Warrants</t>
  </si>
  <si>
    <t>ACLS</t>
  </si>
  <si>
    <t>Axcelis Technologies Inc. Common Stock</t>
  </si>
  <si>
    <t>ACMR</t>
  </si>
  <si>
    <t>ACM Research Inc. Class A Common Stock</t>
  </si>
  <si>
    <t>ACNB</t>
  </si>
  <si>
    <t>ACNB Corporation Common Stock</t>
  </si>
  <si>
    <t>ACOR</t>
  </si>
  <si>
    <t>Acorda Therapeutics Inc. Common Stock</t>
  </si>
  <si>
    <t>ACQR</t>
  </si>
  <si>
    <t>Independence Holdings Corp. Class A Ordinary Share</t>
  </si>
  <si>
    <t>ACQRU</t>
  </si>
  <si>
    <t>Independence Holdings Corp. Units</t>
  </si>
  <si>
    <t>ACQRW</t>
  </si>
  <si>
    <t>Independence Holdings Corp. Warrant</t>
  </si>
  <si>
    <t>ACRS</t>
  </si>
  <si>
    <t>Aclaris Therapeutics Inc. Common Stock</t>
  </si>
  <si>
    <t>ACRX</t>
  </si>
  <si>
    <t>AcelRx Pharmaceuticals Inc. Common Stock</t>
  </si>
  <si>
    <t>ACST</t>
  </si>
  <si>
    <t>Acasti Pharma Inc. Class A Common Stock</t>
  </si>
  <si>
    <t>ACTD</t>
  </si>
  <si>
    <t>ArcLight Clean Transition Corp. II Class A Ordinary Share</t>
  </si>
  <si>
    <t>ACTDU</t>
  </si>
  <si>
    <t>ArcLight Clean Transition Corp. II Unit</t>
  </si>
  <si>
    <t>ACTDW</t>
  </si>
  <si>
    <t>ArcLight Clean Transition Corp. II Warrant</t>
  </si>
  <si>
    <t>ACTG</t>
  </si>
  <si>
    <t>Acacia Research Corporation (Acacia Tech) Common Stock</t>
  </si>
  <si>
    <t>ACVA</t>
  </si>
  <si>
    <t>ACV Auctions Inc. Class A Common Stock</t>
  </si>
  <si>
    <t>ACXP</t>
  </si>
  <si>
    <t>Acurx Pharmaceuticals Inc. Common Stock</t>
  </si>
  <si>
    <t>ADAG</t>
  </si>
  <si>
    <t>Adagene Inc. American Depositary Shares</t>
  </si>
  <si>
    <t>ADAP</t>
  </si>
  <si>
    <t>Adaptimmune Therapeutics plc American Depositary Shares</t>
  </si>
  <si>
    <t>ADBE</t>
  </si>
  <si>
    <t>Adobe Inc. Common Stock</t>
  </si>
  <si>
    <t>ADER</t>
  </si>
  <si>
    <t>26 Capital Acquisition Corp. Class A Common Stock</t>
  </si>
  <si>
    <t>ADERU</t>
  </si>
  <si>
    <t>26 Capital Acquisition Corp. Unit</t>
  </si>
  <si>
    <t>ADERW</t>
  </si>
  <si>
    <t>26 Capital Acquisition Corp. Warrant</t>
  </si>
  <si>
    <t>ADES</t>
  </si>
  <si>
    <t>Advanced Emissions Solutions Inc. Common Stock</t>
  </si>
  <si>
    <t>ADI</t>
  </si>
  <si>
    <t>Analog Devices Inc. Common Stock</t>
  </si>
  <si>
    <t>ADIL</t>
  </si>
  <si>
    <t>Adial Pharmaceuticals Inc Common Stock</t>
  </si>
  <si>
    <t>ADILW</t>
  </si>
  <si>
    <t>Adial Pharmaceuticals Inc Warrant</t>
  </si>
  <si>
    <t>ADMA</t>
  </si>
  <si>
    <t>ADMA Biologics Inc Common Stock</t>
  </si>
  <si>
    <t>ADMP</t>
  </si>
  <si>
    <t>Adamis Pharmaceuticals Corporation Common Stock</t>
  </si>
  <si>
    <t>ADMS</t>
  </si>
  <si>
    <t>Adamas Pharmaceuticals Inc. Common Stock</t>
  </si>
  <si>
    <t>ADN</t>
  </si>
  <si>
    <t>Advent Technologies Holdings Inc. Class A Common Stock</t>
  </si>
  <si>
    <t>ADNWW</t>
  </si>
  <si>
    <t>Advent Technologies Holdings Inc. Warrant</t>
  </si>
  <si>
    <t>ADOC</t>
  </si>
  <si>
    <t>Edoc Acquisition Corp. Class A Ordinary Share</t>
  </si>
  <si>
    <t>ADOCR</t>
  </si>
  <si>
    <t>Edoc Acquisition Corp. Right</t>
  </si>
  <si>
    <t>ADOCW</t>
  </si>
  <si>
    <t>Edoc Acquisition Corp. Warrant</t>
  </si>
  <si>
    <t>ADP</t>
  </si>
  <si>
    <t>Automatic Data Processing Inc. Common Stock</t>
  </si>
  <si>
    <t>ADPT</t>
  </si>
  <si>
    <t>Adaptive Biotechnologies Corporation Common Stock</t>
  </si>
  <si>
    <t>ADSK</t>
  </si>
  <si>
    <t>Autodesk Inc. Common Stock</t>
  </si>
  <si>
    <t>ADTN</t>
  </si>
  <si>
    <t>ADTRAN Inc. Common Stock</t>
  </si>
  <si>
    <t>ADTX</t>
  </si>
  <si>
    <t>Aditxt Inc. Common Stock</t>
  </si>
  <si>
    <t>ADUS</t>
  </si>
  <si>
    <t>Addus HomeCare Corporation Common Stock</t>
  </si>
  <si>
    <t>ADV</t>
  </si>
  <si>
    <t>Advantage Solutions Inc. Class A Common Stock</t>
  </si>
  <si>
    <t>ADVM</t>
  </si>
  <si>
    <t>Adverum Biotechnologies Inc. Common Stock</t>
  </si>
  <si>
    <t>ADVWW</t>
  </si>
  <si>
    <t>Advantage Solutions Inc. Warrant</t>
  </si>
  <si>
    <t>ADXN</t>
  </si>
  <si>
    <t>Addex Therapeutics Ltd American Depositary Shares</t>
  </si>
  <si>
    <t>ADXS</t>
  </si>
  <si>
    <t>Advaxis Inc. Common Stock</t>
  </si>
  <si>
    <t>AEAC</t>
  </si>
  <si>
    <t>Authentic Equity Acquisition Corp. Class A ordinary share</t>
  </si>
  <si>
    <t>AEACU</t>
  </si>
  <si>
    <t>Authentic Equity Acquisition Corp. Unit</t>
  </si>
  <si>
    <t>AEACW</t>
  </si>
  <si>
    <t>Authentic Equity Acquisition Corp. Warrant</t>
  </si>
  <si>
    <t>AEHL</t>
  </si>
  <si>
    <t>Antelope Enterprise Holdings Limited Common Stock (0.024 par)</t>
  </si>
  <si>
    <t>AEHR</t>
  </si>
  <si>
    <t>Aehr Test Systems Common Stock</t>
  </si>
  <si>
    <t>AEI</t>
  </si>
  <si>
    <t>Alset EHome International Inc. Common Stock</t>
  </si>
  <si>
    <t>AEIS</t>
  </si>
  <si>
    <t>Advanced Energy Industries Inc. Common Stock</t>
  </si>
  <si>
    <t>AEMD</t>
  </si>
  <si>
    <t>Aethlon Medical Inc. Common Stock</t>
  </si>
  <si>
    <t>AEP</t>
  </si>
  <si>
    <t>American Electric Power Company Inc. Common Stock</t>
  </si>
  <si>
    <t>AEPPL</t>
  </si>
  <si>
    <t>American Electric Power Company Inc. Corporate Unit</t>
  </si>
  <si>
    <t>AEPPZ</t>
  </si>
  <si>
    <t>American Electric Power Company Inc. Corporate Units</t>
  </si>
  <si>
    <t>AERI</t>
  </si>
  <si>
    <t>Aerie Pharmaceuticals Inc. Common Stock</t>
  </si>
  <si>
    <t>AESE</t>
  </si>
  <si>
    <t>Allied Esports Entertainment Inc. Common Stock</t>
  </si>
  <si>
    <t>AEY</t>
  </si>
  <si>
    <t>ADDvantage Technologies Group Inc. Common Stock</t>
  </si>
  <si>
    <t>AEYE</t>
  </si>
  <si>
    <t>AudioEye Inc. Common Stock</t>
  </si>
  <si>
    <t>AEZS</t>
  </si>
  <si>
    <t>Aeterna Zentaris Inc. Common Stock</t>
  </si>
  <si>
    <t>AFAQ</t>
  </si>
  <si>
    <t>AF Acquisition Corp. Class A Common Stock</t>
  </si>
  <si>
    <t>AFBI</t>
  </si>
  <si>
    <t>Affinity Bancshares Inc. Common Stock (MD)</t>
  </si>
  <si>
    <t>AFCG</t>
  </si>
  <si>
    <t>AFC Gamma Inc. Common Stock</t>
  </si>
  <si>
    <t>AFIB</t>
  </si>
  <si>
    <t>Acutus Medical Inc. Common Stock</t>
  </si>
  <si>
    <t>AFIN</t>
  </si>
  <si>
    <t>American Finance Trust Inc. Class A Common Stock</t>
  </si>
  <si>
    <t>AFINO</t>
  </si>
  <si>
    <t>American Finance Trust Inc. 7.375% Series C Cumulative Redeemable Preferred Stock</t>
  </si>
  <si>
    <t>AFINP</t>
  </si>
  <si>
    <t>American Finance Trust Inc. 7.50% Series A Cumulative Redeemable Perpetual Preferred Stock</t>
  </si>
  <si>
    <t>AFMD</t>
  </si>
  <si>
    <t>Affimed N.V.</t>
  </si>
  <si>
    <t>AFRM</t>
  </si>
  <si>
    <t>Affirm Holdings Inc. Class A Common Stock</t>
  </si>
  <si>
    <t>AFYA</t>
  </si>
  <si>
    <t>Afya Limited Class A Common Shares</t>
  </si>
  <si>
    <t>AGBA</t>
  </si>
  <si>
    <t>AGBA Acquisition Limited Ordinary Share</t>
  </si>
  <si>
    <t>AGBAR</t>
  </si>
  <si>
    <t>AGBA Acquisition Limited Right</t>
  </si>
  <si>
    <t>AGBAU</t>
  </si>
  <si>
    <t>AGBA Acquisition Limited Unit</t>
  </si>
  <si>
    <t>AGBAW</t>
  </si>
  <si>
    <t>AGBA Acquisition Limited Warrant</t>
  </si>
  <si>
    <t>AGC</t>
  </si>
  <si>
    <t>Altimeter Growth Corp. Class A Ordinary Shares</t>
  </si>
  <si>
    <t>AGCUU</t>
  </si>
  <si>
    <t>Altimeter Growth Corp. Unit</t>
  </si>
  <si>
    <t>AGCWW</t>
  </si>
  <si>
    <t>Altimeter Growth Corp. Warrant</t>
  </si>
  <si>
    <t>AGEN</t>
  </si>
  <si>
    <t>Agenus Inc. Common Stock</t>
  </si>
  <si>
    <t>AGFS</t>
  </si>
  <si>
    <t>AgroFresh Solutions Inc. Common Stock</t>
  </si>
  <si>
    <t>AGFY</t>
  </si>
  <si>
    <t>Agrify Corporation Common Stock</t>
  </si>
  <si>
    <t>AGGR</t>
  </si>
  <si>
    <t>Agile Growth Corp. Class A Ordinary Share</t>
  </si>
  <si>
    <t>AGGRU</t>
  </si>
  <si>
    <t>Agile Growth Corp. Units</t>
  </si>
  <si>
    <t>AGGRW</t>
  </si>
  <si>
    <t>Agile Growth Corp. Warrant.</t>
  </si>
  <si>
    <t>AGIO</t>
  </si>
  <si>
    <t>Agios Pharmaceuticals Inc. Common Stock</t>
  </si>
  <si>
    <t>AGLE</t>
  </si>
  <si>
    <t>Aeglea BioTherapeutics Inc. Common Stock</t>
  </si>
  <si>
    <t>AGMH</t>
  </si>
  <si>
    <t>AGM Group Holdings Inc. Class A Ordinary Shares</t>
  </si>
  <si>
    <t>AGNC</t>
  </si>
  <si>
    <t>AGNC Investment Corp. Common Stock</t>
  </si>
  <si>
    <t>AGNCM</t>
  </si>
  <si>
    <t>AGNC Investment Corp. Depositary Shares rep 6.875% Series D Fixed-to-Floating Cumulative Redeemable Preferred Stock</t>
  </si>
  <si>
    <t>AGNCN</t>
  </si>
  <si>
    <t>AGNC Investment Corp. Depositary Shares Each Representing a 1/1000th Interest in a Share of 7.00% Series C Fixed-To-Floating Rate Cumulative Redeemable Preferred Stock</t>
  </si>
  <si>
    <t>AGNCO</t>
  </si>
  <si>
    <t>AGNC Investment Corp. Depositary Shares each representing a 1/1000th interest in a share of 6.50% Series E Fixed-to-Floating Cumulative Redeemable Preferred Stock</t>
  </si>
  <si>
    <t>AGNCP</t>
  </si>
  <si>
    <t>AGNC Investment Corp. Depositary Shares Each Representing a 1/1000th Interest in a Share of 6.125% Series F Fixed-to-Floating Rate Cumulative Redeemable Preferred Stock</t>
  </si>
  <si>
    <t>AGRI</t>
  </si>
  <si>
    <t>AgriFORCE  Growing Systems Ltd. Common Shares</t>
  </si>
  <si>
    <t>AGRIW</t>
  </si>
  <si>
    <t>AgriFORCE  Growing Systems Ltd. Warrant</t>
  </si>
  <si>
    <t>AGRX</t>
  </si>
  <si>
    <t>Agile Therapeutics Inc. Common Stock</t>
  </si>
  <si>
    <t>AGTC</t>
  </si>
  <si>
    <t>Applied Genetic Technologies Corporation Common Stock</t>
  </si>
  <si>
    <t>AGYS</t>
  </si>
  <si>
    <t>Agilysys Inc. Common Stock</t>
  </si>
  <si>
    <t>AHAC</t>
  </si>
  <si>
    <t>Alpha Healthcare Acquisition Corp. Class A Common Stock</t>
  </si>
  <si>
    <t>AHACU</t>
  </si>
  <si>
    <t>Alpha Healthcare Acquisition Corp. Unit</t>
  </si>
  <si>
    <t>AHACW</t>
  </si>
  <si>
    <t>Alpha Healthcare Acquisition Corp. Warrant</t>
  </si>
  <si>
    <t>AHCO</t>
  </si>
  <si>
    <t>AdaptHealth Corp. Class A Common Stock</t>
  </si>
  <si>
    <t>AHPI</t>
  </si>
  <si>
    <t>Allied Healthcare Products Inc. Common Stock</t>
  </si>
  <si>
    <t>AIH</t>
  </si>
  <si>
    <t>Aesthetic Medical International Holdings Group Ltd. American Depositary Shares</t>
  </si>
  <si>
    <t>AIHS</t>
  </si>
  <si>
    <t>Senmiao Technology Limited Common Stock</t>
  </si>
  <si>
    <t>AIKI</t>
  </si>
  <si>
    <t>AIkido Pharma Inc. Common Stock</t>
  </si>
  <si>
    <t>AIMC</t>
  </si>
  <si>
    <t>Altra Industrial Motion Corp. Common Stock</t>
  </si>
  <si>
    <t>AINV</t>
  </si>
  <si>
    <t>Apollo Investment Corporation Common Stock</t>
  </si>
  <si>
    <t>AIRG</t>
  </si>
  <si>
    <t>Airgain Inc. Common Stock</t>
  </si>
  <si>
    <t>AIRT</t>
  </si>
  <si>
    <t>Air T Inc. Common Stock</t>
  </si>
  <si>
    <t>AIRTP</t>
  </si>
  <si>
    <t>Air T Inc. Air T Funding Alpha Income Trust Preferred Securities</t>
  </si>
  <si>
    <t>AIRTW</t>
  </si>
  <si>
    <t>Air T Inc. Air T Funding Warrants to Purchase Alpha Income Trust Preferred Expiring 08/30/2021</t>
  </si>
  <si>
    <t>AKAM</t>
  </si>
  <si>
    <t>Akamai Technologies Inc. Common Stock</t>
  </si>
  <si>
    <t>AKBA</t>
  </si>
  <si>
    <t>Akebia Therapeutics Inc. Common Stock</t>
  </si>
  <si>
    <t>AKIC</t>
  </si>
  <si>
    <t>Sports Ventures Acquisition Corp. Class A Ordinary Shares</t>
  </si>
  <si>
    <t>AKICU</t>
  </si>
  <si>
    <t>Sports Ventures Acquisition Corp. Unit</t>
  </si>
  <si>
    <t>AKICW</t>
  </si>
  <si>
    <t>Sports Ventures Acquisition Corp. Warrant</t>
  </si>
  <si>
    <t>AKRO</t>
  </si>
  <si>
    <t>Akero Therapeutics Inc. Common Stock</t>
  </si>
  <si>
    <t>AKTS</t>
  </si>
  <si>
    <t>Akoustis Technologies Inc. Common Stock</t>
  </si>
  <si>
    <t>AKTX</t>
  </si>
  <si>
    <t>Akari Therapeutics plc ADR (0.01 USD)</t>
  </si>
  <si>
    <t>AKU</t>
  </si>
  <si>
    <t>Akumin Inc. Common Shares</t>
  </si>
  <si>
    <t>AKUS</t>
  </si>
  <si>
    <t>Akouos Inc. Common Stock</t>
  </si>
  <si>
    <t>AKYA</t>
  </si>
  <si>
    <t>Akoya BioSciences Inc. Common Stock</t>
  </si>
  <si>
    <t>ALAC</t>
  </si>
  <si>
    <t>Alberton Acquisition Corporation Ordinary Shares</t>
  </si>
  <si>
    <t>ALACR</t>
  </si>
  <si>
    <t>Alberton Acquisition Corporation Rights exp April 26 2021</t>
  </si>
  <si>
    <t>ALACW</t>
  </si>
  <si>
    <t>Alberton Acquisition Corporation Warrant</t>
  </si>
  <si>
    <t>ALBO</t>
  </si>
  <si>
    <t>Albireo Pharma Inc. Common Stock</t>
  </si>
  <si>
    <t>ALCO</t>
  </si>
  <si>
    <t>Alico Inc. Common Stock</t>
  </si>
  <si>
    <t>ALDX</t>
  </si>
  <si>
    <t>Aldeyra Therapeutics Inc. Common Stock</t>
  </si>
  <si>
    <t>ALEC</t>
  </si>
  <si>
    <t>Alector Inc. Common Stock</t>
  </si>
  <si>
    <t>ALF</t>
  </si>
  <si>
    <t>ALFI Inc. Common Stock</t>
  </si>
  <si>
    <t>ALFIW</t>
  </si>
  <si>
    <t>ALFI Inc. Warrant</t>
  </si>
  <si>
    <t>ALGM</t>
  </si>
  <si>
    <t>Allegro MicroSystems Inc. Common Stock</t>
  </si>
  <si>
    <t>ALGN</t>
  </si>
  <si>
    <t>Align Technology Inc. Common Stock</t>
  </si>
  <si>
    <t>ALGS</t>
  </si>
  <si>
    <t>Aligos Therapeutics Inc. Common Stock</t>
  </si>
  <si>
    <t>ALGT</t>
  </si>
  <si>
    <t>Allegiant Travel Company Common Stock</t>
  </si>
  <si>
    <t>ALHC</t>
  </si>
  <si>
    <t>Alignment Healthcare Inc. Common Stock</t>
  </si>
  <si>
    <t>ALIM</t>
  </si>
  <si>
    <t>Alimera Sciences Inc. Common Stock</t>
  </si>
  <si>
    <t>ALJJ</t>
  </si>
  <si>
    <t>ALJ Regional Holdings Inc. Common Stock</t>
  </si>
  <si>
    <t>ALKS</t>
  </si>
  <si>
    <t>Alkermes plc Ordinary Shares</t>
  </si>
  <si>
    <t>ALKT</t>
  </si>
  <si>
    <t>Alkami Technology Inc. Common Stock</t>
  </si>
  <si>
    <t>ALLK</t>
  </si>
  <si>
    <t>Allakos Inc. Common Stock</t>
  </si>
  <si>
    <t>ALLO</t>
  </si>
  <si>
    <t>Allogene Therapeutics Inc. Common Stock</t>
  </si>
  <si>
    <t>ALLT</t>
  </si>
  <si>
    <t>Allot Ltd. Ordinary Shares</t>
  </si>
  <si>
    <t>ALNA</t>
  </si>
  <si>
    <t>Allena Pharmaceuticals Inc. Common Stock</t>
  </si>
  <si>
    <t>ALNY</t>
  </si>
  <si>
    <t>Alnylam Pharmaceuticals Inc. Common Stock</t>
  </si>
  <si>
    <t>ALOT</t>
  </si>
  <si>
    <t>AstroNova Inc. Common Stock</t>
  </si>
  <si>
    <t>ALPAU</t>
  </si>
  <si>
    <t>Alpha Healthcare Acquisition Corp. III Units</t>
  </si>
  <si>
    <t>ALPN</t>
  </si>
  <si>
    <t>Alpine Immune Sciences Inc. Common Stock</t>
  </si>
  <si>
    <t>ALRM</t>
  </si>
  <si>
    <t>Alarm.com Holdings Inc. Common Stock</t>
  </si>
  <si>
    <t>ALRN</t>
  </si>
  <si>
    <t>Aileron Therapeutics Inc. Common Stock</t>
  </si>
  <si>
    <t>ALRS</t>
  </si>
  <si>
    <t>Alerus Financial Corporation Common Stock</t>
  </si>
  <si>
    <t>ALT</t>
  </si>
  <si>
    <t>Altimmune Inc. Common Stock</t>
  </si>
  <si>
    <t>ALTA</t>
  </si>
  <si>
    <t>Altabancorp Common Stock</t>
  </si>
  <si>
    <t>ALTM</t>
  </si>
  <si>
    <t>Altus Midstream Company Class A Common Stock</t>
  </si>
  <si>
    <t>ALTO</t>
  </si>
  <si>
    <t>Alto Ingredients Inc. Common Stock</t>
  </si>
  <si>
    <t>ALTR</t>
  </si>
  <si>
    <t>Altair Engineering Inc. Class A Common Stock</t>
  </si>
  <si>
    <t>ALTU</t>
  </si>
  <si>
    <t>Altitude Acquisition Corp. Class A Common Stock</t>
  </si>
  <si>
    <t>ALTUW</t>
  </si>
  <si>
    <t>Altitude Acquisition Corp. Warrant</t>
  </si>
  <si>
    <t>ALVR</t>
  </si>
  <si>
    <t>AlloVir Inc. Common Stock</t>
  </si>
  <si>
    <t>ALXO</t>
  </si>
  <si>
    <t>ALX Oncology Holdings Inc. Common Stock</t>
  </si>
  <si>
    <t>ALYA</t>
  </si>
  <si>
    <t>Alithya Group inc. Class A Subordinate Voting Shares</t>
  </si>
  <si>
    <t>ALZN</t>
  </si>
  <si>
    <t>Alzamend Neuro Inc. Common Stock</t>
  </si>
  <si>
    <t>AMAL</t>
  </si>
  <si>
    <t>Amalgamated Financial Corp. Common Stock (DE)</t>
  </si>
  <si>
    <t>AMAO</t>
  </si>
  <si>
    <t>American Acquisition Opportunity Inc. Class A Common Stock</t>
  </si>
  <si>
    <t>AMAOU</t>
  </si>
  <si>
    <t>American Acquisition Opportunity Inc. Units</t>
  </si>
  <si>
    <t>AMAOW</t>
  </si>
  <si>
    <t>American Acquisition Opportunity Inc. Warrant</t>
  </si>
  <si>
    <t>AMAT</t>
  </si>
  <si>
    <t>Applied Materials Inc. Common Stock</t>
  </si>
  <si>
    <t>AMBA</t>
  </si>
  <si>
    <t>Ambarella Inc. Ordinary Shares</t>
  </si>
  <si>
    <t>AMCIU</t>
  </si>
  <si>
    <t>AMCI Acquisition Corp. II Units</t>
  </si>
  <si>
    <t>AMCX</t>
  </si>
  <si>
    <t>AMC Networks Inc. Class A Common Stock</t>
  </si>
  <si>
    <t>AMD</t>
  </si>
  <si>
    <t>Advanced Micro Devices Inc. Common Stock</t>
  </si>
  <si>
    <t>AMED</t>
  </si>
  <si>
    <t>Amedisys Inc Common Stock</t>
  </si>
  <si>
    <t>AMEH</t>
  </si>
  <si>
    <t>Apollo Medical Holdings Inc. Common Stock</t>
  </si>
  <si>
    <t>AMGN</t>
  </si>
  <si>
    <t>Amgen Inc. Common Stock</t>
  </si>
  <si>
    <t>AMHC</t>
  </si>
  <si>
    <t>Amplitude Healthcare Acquisition Corporation Class A Common Stock</t>
  </si>
  <si>
    <t>AMHCW</t>
  </si>
  <si>
    <t>Amplitude Healthcare Acquisition Corporation Warrants</t>
  </si>
  <si>
    <t>AMKR</t>
  </si>
  <si>
    <t>Amkor Technology Inc. Common Stock</t>
  </si>
  <si>
    <t>AMNB</t>
  </si>
  <si>
    <t>American National Bankshares Inc. Common Stock</t>
  </si>
  <si>
    <t>AMOT</t>
  </si>
  <si>
    <t>Allied Motion Technologies Inc.</t>
  </si>
  <si>
    <t>AMPG</t>
  </si>
  <si>
    <t>Amplitech Group Inc. Common Stock</t>
  </si>
  <si>
    <t>AMPGW</t>
  </si>
  <si>
    <t>Amplitech Group Inc. Warrants</t>
  </si>
  <si>
    <t>AMPH</t>
  </si>
  <si>
    <t>Amphastar Pharmaceuticals Inc. Common Stock</t>
  </si>
  <si>
    <t>AMRB</t>
  </si>
  <si>
    <t>American River Bankshares Common Stock</t>
  </si>
  <si>
    <t>AMRK</t>
  </si>
  <si>
    <t>A-Mark Precious Metals Inc. Common Stock</t>
  </si>
  <si>
    <t>AMRN</t>
  </si>
  <si>
    <t>Amarin Corporation plc</t>
  </si>
  <si>
    <t>AMRS</t>
  </si>
  <si>
    <t>Amyris Inc. Common Stock</t>
  </si>
  <si>
    <t>AMSC</t>
  </si>
  <si>
    <t>American Superconductor Corporation Common Stock</t>
  </si>
  <si>
    <t>AMSF</t>
  </si>
  <si>
    <t>AMERISAFE Inc. Common Stock</t>
  </si>
  <si>
    <t>AMST</t>
  </si>
  <si>
    <t>Amesite Inc. Common Stock</t>
  </si>
  <si>
    <t>AMSWA</t>
  </si>
  <si>
    <t>American Software Inc. Class A Common Stock</t>
  </si>
  <si>
    <t>AMTB</t>
  </si>
  <si>
    <t>Amerant Bancorp Inc. Class A Common Stock</t>
  </si>
  <si>
    <t>AMTBB</t>
  </si>
  <si>
    <t>Amerant Bancorp Inc. Class B Common Stock</t>
  </si>
  <si>
    <t>AMTI</t>
  </si>
  <si>
    <t>Applied Molecular Transport Inc. Common Stock</t>
  </si>
  <si>
    <t>AMTX</t>
  </si>
  <si>
    <t>Aemetis Inc. Common Stock</t>
  </si>
  <si>
    <t>AMWD</t>
  </si>
  <si>
    <t>American Woodmark Corporation Common Stock</t>
  </si>
  <si>
    <t>AMYT</t>
  </si>
  <si>
    <t>Amryt Pharma plc American Depositary Shares</t>
  </si>
  <si>
    <t>AMZN</t>
  </si>
  <si>
    <t>Amazon.com Inc. Common Stock</t>
  </si>
  <si>
    <t>ANAB</t>
  </si>
  <si>
    <t>AnaptysBio Inc. Common Stock</t>
  </si>
  <si>
    <t>ANAT</t>
  </si>
  <si>
    <t>American National Group Inc. Common Stock</t>
  </si>
  <si>
    <t>ANDE</t>
  </si>
  <si>
    <t>Andersons Inc. (The) Common Stock</t>
  </si>
  <si>
    <t>ANEB</t>
  </si>
  <si>
    <t>Anebulo Pharmaceuticals Inc. Common Stock</t>
  </si>
  <si>
    <t>ANGI</t>
  </si>
  <si>
    <t>Angi Inc. Class A Common Stock</t>
  </si>
  <si>
    <t>ANGN</t>
  </si>
  <si>
    <t>Angion Biomedica Corp. Common Stock</t>
  </si>
  <si>
    <t>ANGO</t>
  </si>
  <si>
    <t>AngioDynamics Inc. Common Stock</t>
  </si>
  <si>
    <t>ANIK</t>
  </si>
  <si>
    <t>Anika Therapeutics Inc. Common Stock</t>
  </si>
  <si>
    <t>ANIP</t>
  </si>
  <si>
    <t>ANI Pharmaceuticals Inc.</t>
  </si>
  <si>
    <t>ANIX</t>
  </si>
  <si>
    <t>Anixa Biosciences Inc. Common Stock</t>
  </si>
  <si>
    <t>ANNX</t>
  </si>
  <si>
    <t>Annexon Inc. Common Stock</t>
  </si>
  <si>
    <t>ANPC</t>
  </si>
  <si>
    <t>AnPac Bio-Medical Science Co. Ltd. American Depositary Shares</t>
  </si>
  <si>
    <t>ANSS</t>
  </si>
  <si>
    <t>ANSYS Inc. Common Stock</t>
  </si>
  <si>
    <t>ANTE</t>
  </si>
  <si>
    <t>AirNet Technology Inc. American Depositary Shares</t>
  </si>
  <si>
    <t>ANY</t>
  </si>
  <si>
    <t>Sphere 3D Corp. Common Shares</t>
  </si>
  <si>
    <t>ANZU</t>
  </si>
  <si>
    <t>Anzu Special Acquisition Corp I Class A Common Stock</t>
  </si>
  <si>
    <t>ANZUU</t>
  </si>
  <si>
    <t>Anzu Special Acquisition Corp I Units</t>
  </si>
  <si>
    <t>ANZUW</t>
  </si>
  <si>
    <t>Anzu Special Acquisition Corp I Warrant</t>
  </si>
  <si>
    <t>AOSL</t>
  </si>
  <si>
    <t>Alpha and Omega Semiconductor Limited Common Shares</t>
  </si>
  <si>
    <t>AOUT</t>
  </si>
  <si>
    <t>American Outdoor Brands Inc. Common Stock</t>
  </si>
  <si>
    <t>APA</t>
  </si>
  <si>
    <t>APA Corporation Common Stock</t>
  </si>
  <si>
    <t>APACU</t>
  </si>
  <si>
    <t>StoneBridge Acquisition Corporation Unit</t>
  </si>
  <si>
    <t>APDN</t>
  </si>
  <si>
    <t>Applied DNA Sciences Inc. Common Stock</t>
  </si>
  <si>
    <t>APEI</t>
  </si>
  <si>
    <t>American Public Education Inc. Common Stock</t>
  </si>
  <si>
    <t>APEN</t>
  </si>
  <si>
    <t>Apollo Endosurgery Inc. Common Stock</t>
  </si>
  <si>
    <t>API</t>
  </si>
  <si>
    <t>Agora Inc. American Depositary Shares</t>
  </si>
  <si>
    <t>APLS</t>
  </si>
  <si>
    <t>Apellis Pharmaceuticals Inc. Common Stock</t>
  </si>
  <si>
    <t>APLT</t>
  </si>
  <si>
    <t>Applied Therapeutics Inc. Common Stock</t>
  </si>
  <si>
    <t>APM</t>
  </si>
  <si>
    <t>Aptorum Group Limited Class A Ordinary Shares</t>
  </si>
  <si>
    <t>APOG</t>
  </si>
  <si>
    <t>Apogee Enterprises Inc. Common Stock</t>
  </si>
  <si>
    <t>APOP</t>
  </si>
  <si>
    <t>Cellect Biotechnology Ltd. American Depositary Shares</t>
  </si>
  <si>
    <t>APP</t>
  </si>
  <si>
    <t>Applovin Corporation Class A Common Stock</t>
  </si>
  <si>
    <t>APPF</t>
  </si>
  <si>
    <t>AppFolio Inc. Class A Common Stock</t>
  </si>
  <si>
    <t>APPH</t>
  </si>
  <si>
    <t>AppHarvest Inc. Common Stock</t>
  </si>
  <si>
    <t>APPHW</t>
  </si>
  <si>
    <t>AppHarvest Inc. Warrants</t>
  </si>
  <si>
    <t>APPN</t>
  </si>
  <si>
    <t>Appian Corporation Class A Common Stock</t>
  </si>
  <si>
    <t>APPS</t>
  </si>
  <si>
    <t>Digital Turbine Inc. Common Stock</t>
  </si>
  <si>
    <t>APR</t>
  </si>
  <si>
    <t>Apria Inc. Common Stock</t>
  </si>
  <si>
    <t>APRE</t>
  </si>
  <si>
    <t>Aprea Therapeutics Inc. Common stock</t>
  </si>
  <si>
    <t>APTMU</t>
  </si>
  <si>
    <t>Alpha Partners Technology Merger Corp. Unit</t>
  </si>
  <si>
    <t>APTO</t>
  </si>
  <si>
    <t>Aptose Biosciences Inc. Common Shares</t>
  </si>
  <si>
    <t>APTX</t>
  </si>
  <si>
    <t>Aptinyx Inc. Common Stock</t>
  </si>
  <si>
    <t>APVO</t>
  </si>
  <si>
    <t>Aptevo Therapeutics Inc. Common Stock</t>
  </si>
  <si>
    <t>APWC</t>
  </si>
  <si>
    <t>Asia Pacific Wire &amp; Cable Corporation Ltd. Ordinary Shares (Bermuda)</t>
  </si>
  <si>
    <t>APYX</t>
  </si>
  <si>
    <t>Apyx Medical Corporation Common Stock</t>
  </si>
  <si>
    <t>AQB</t>
  </si>
  <si>
    <t>AquaBounty Technologies Inc. Common Stock</t>
  </si>
  <si>
    <t>AQMS</t>
  </si>
  <si>
    <t>Aqua Metals Inc. Common Stock</t>
  </si>
  <si>
    <t>AQST</t>
  </si>
  <si>
    <t>Aquestive Therapeutics Inc. Common Stock</t>
  </si>
  <si>
    <t>ARAV</t>
  </si>
  <si>
    <t>Aravive Inc. Common Stock</t>
  </si>
  <si>
    <t>ARAY</t>
  </si>
  <si>
    <t>Accuray Incorporated Common Stock</t>
  </si>
  <si>
    <t>ARBG</t>
  </si>
  <si>
    <t>Aequi Acquisition Corp. Class A Common Stock</t>
  </si>
  <si>
    <t>ARBGU</t>
  </si>
  <si>
    <t>Aequi Acquisition Corp. Unit</t>
  </si>
  <si>
    <t>ARBGW</t>
  </si>
  <si>
    <t>Aequi Acquisition Corp. warrants</t>
  </si>
  <si>
    <t>ARCB</t>
  </si>
  <si>
    <t>ArcBest Corporation Common Stock</t>
  </si>
  <si>
    <t>ARCC</t>
  </si>
  <si>
    <t>Ares Capital Corporation Common Stock</t>
  </si>
  <si>
    <t>ARCE</t>
  </si>
  <si>
    <t>Arco Platform Limited Class A Common Shares</t>
  </si>
  <si>
    <t>ARCT</t>
  </si>
  <si>
    <t>Arcturus Therapeutics Holdings Inc. Common Stock</t>
  </si>
  <si>
    <t>ARDS</t>
  </si>
  <si>
    <t>Aridis Pharmaceuticals Inc. Common Stock</t>
  </si>
  <si>
    <t>ARDX</t>
  </si>
  <si>
    <t>Ardelyx Inc. Common Stock</t>
  </si>
  <si>
    <t>AREC</t>
  </si>
  <si>
    <t>American Resources Corporation Class A Common Stock</t>
  </si>
  <si>
    <t>ARGX</t>
  </si>
  <si>
    <t>argenx SE American Depositary Shares</t>
  </si>
  <si>
    <t>ARKO</t>
  </si>
  <si>
    <t>ARKO Corp. Common Stock</t>
  </si>
  <si>
    <t>ARKOW</t>
  </si>
  <si>
    <t>ARKO Corp. Warrant</t>
  </si>
  <si>
    <t>ARKR</t>
  </si>
  <si>
    <t>Ark Restaurants Corp. Common Stock</t>
  </si>
  <si>
    <t>ARLP</t>
  </si>
  <si>
    <t>Alliance Resource Partners L.P. Common Units representing Limited Partners Interests</t>
  </si>
  <si>
    <t>ARNA</t>
  </si>
  <si>
    <t>Arena Pharmaceuticals Inc. Common Stock</t>
  </si>
  <si>
    <t>AROW</t>
  </si>
  <si>
    <t>Arrow Financial Corporation Common Stock</t>
  </si>
  <si>
    <t>ARPO</t>
  </si>
  <si>
    <t>Aerpio Pharmaceuticals Inc. Common Stock</t>
  </si>
  <si>
    <t>ARQT</t>
  </si>
  <si>
    <t>Arcutis Biotherapeutics Inc. Common Stock</t>
  </si>
  <si>
    <t>ARRW</t>
  </si>
  <si>
    <t>Arrowroot Acquisition Corp. Class A common stock</t>
  </si>
  <si>
    <t>ARRWU</t>
  </si>
  <si>
    <t>Arrowroot Acquisition Corp. Unit</t>
  </si>
  <si>
    <t>ARRWW</t>
  </si>
  <si>
    <t>Arrowroot Acquisition Corp. Warrant</t>
  </si>
  <si>
    <t>ARRY</t>
  </si>
  <si>
    <t>Array Technologies Inc. Common Stock</t>
  </si>
  <si>
    <t>ARTA</t>
  </si>
  <si>
    <t>Artisan Acquisition Corp. Class A Ordinary Shares</t>
  </si>
  <si>
    <t>ARTAU</t>
  </si>
  <si>
    <t>Artisan Acquisition Corp. Units</t>
  </si>
  <si>
    <t>ARTL</t>
  </si>
  <si>
    <t>Artelo Biosciences Inc. Common Stock</t>
  </si>
  <si>
    <t>ARTLW</t>
  </si>
  <si>
    <t>Artelo Biosciences Inc. Warrant</t>
  </si>
  <si>
    <t>ARTNA</t>
  </si>
  <si>
    <t>Artesian Resources Corporation Class A Common Stock</t>
  </si>
  <si>
    <t>ARTW</t>
  </si>
  <si>
    <t>Art's-Way Manufacturing Co. Inc. Common Stock</t>
  </si>
  <si>
    <t>ARVL</t>
  </si>
  <si>
    <t>Arrival Ordinary Shares</t>
  </si>
  <si>
    <t>ARVN</t>
  </si>
  <si>
    <t>Arvinas Inc. Common Stock</t>
  </si>
  <si>
    <t>ARWR</t>
  </si>
  <si>
    <t>Arrowhead Pharmaceuticals Inc. Common Stock</t>
  </si>
  <si>
    <t>ARYD</t>
  </si>
  <si>
    <t>ARYA Sciences Acquisition Corp IV Class A Odinary Shares</t>
  </si>
  <si>
    <t>ARYE</t>
  </si>
  <si>
    <t>ARYA Sciences Acquisition Corp V Class A Ordinary Shares</t>
  </si>
  <si>
    <t>ASAX</t>
  </si>
  <si>
    <t>Astrea Acquisition Corp. Class A Common Stock</t>
  </si>
  <si>
    <t>ASAXU</t>
  </si>
  <si>
    <t>Astrea Acquisition Corp. Unit</t>
  </si>
  <si>
    <t>ASAXW</t>
  </si>
  <si>
    <t>Astrea Acquisition Corp. Warrant</t>
  </si>
  <si>
    <t>ASLE</t>
  </si>
  <si>
    <t>AerSale Corporation Common Stock</t>
  </si>
  <si>
    <t>ASLEW</t>
  </si>
  <si>
    <t>AerSale Corporation Warrants</t>
  </si>
  <si>
    <t>ASLN</t>
  </si>
  <si>
    <t>ASLAN Pharmaceuticals Limited American Depositary Shares</t>
  </si>
  <si>
    <t>ASMB</t>
  </si>
  <si>
    <t>Assembly Biosciences Inc. Common Stock</t>
  </si>
  <si>
    <t>ASML</t>
  </si>
  <si>
    <t>ASML Holding N.V. New York Registry Shares</t>
  </si>
  <si>
    <t>ASND</t>
  </si>
  <si>
    <t>Ascendis Pharma A/S American Depositary Shares</t>
  </si>
  <si>
    <t>ASO</t>
  </si>
  <si>
    <t>Academy Sports and Outdoors Inc. Common Stock</t>
  </si>
  <si>
    <t>ASPC</t>
  </si>
  <si>
    <t>Alpha Capital Acquisition Company One Class A Ordinary Share</t>
  </si>
  <si>
    <t>ASPCU</t>
  </si>
  <si>
    <t>Alpha Capital Acquisition Company Unit</t>
  </si>
  <si>
    <t>ASPS</t>
  </si>
  <si>
    <t>Altisource Portfolio Solutions S.A. Common Stock</t>
  </si>
  <si>
    <t>ASPU</t>
  </si>
  <si>
    <t>Aspen Group Inc. Common Stock</t>
  </si>
  <si>
    <t>ASRT</t>
  </si>
  <si>
    <t>Assertio Holdings Inc. Common Stock</t>
  </si>
  <si>
    <t>ASRV</t>
  </si>
  <si>
    <t>AmeriServ Financial Inc. Common Stock</t>
  </si>
  <si>
    <t>ASRVP</t>
  </si>
  <si>
    <t>AmeriServ Financial Inc. AmeriServ Financial Trust I - 8.45% Beneficial Unsecured Securities Series A</t>
  </si>
  <si>
    <t>ASTC</t>
  </si>
  <si>
    <t>Astrotech Corporation (DE) Common Stock</t>
  </si>
  <si>
    <t>ASTE</t>
  </si>
  <si>
    <t>Astec Industries Inc. Common Stock</t>
  </si>
  <si>
    <t>ASTR</t>
  </si>
  <si>
    <t>Astra Space Inc. Class A Common Stock</t>
  </si>
  <si>
    <t>ASTRW</t>
  </si>
  <si>
    <t>Astra Space Inc. Warrant</t>
  </si>
  <si>
    <t>ASTS</t>
  </si>
  <si>
    <t>AST SpaceMobile Inc. Class A Common Stock</t>
  </si>
  <si>
    <t>ASTSW</t>
  </si>
  <si>
    <t>AST SpaceMobile Inc. Warrant</t>
  </si>
  <si>
    <t>ASUR</t>
  </si>
  <si>
    <t>Asure Software Inc Common Stock</t>
  </si>
  <si>
    <t>ASYS</t>
  </si>
  <si>
    <t>Amtech Systems Inc. Common Stock</t>
  </si>
  <si>
    <t>ATAI</t>
  </si>
  <si>
    <t>ATAI Life Sciences N.V. Common Shares</t>
  </si>
  <si>
    <t>ATAX</t>
  </si>
  <si>
    <t>America First Multifamily Investors L.P. Beneficial Unit Certificates (BUCs) representing Limited Partnership Interests</t>
  </si>
  <si>
    <t>ATCX</t>
  </si>
  <si>
    <t>Atlas Technical Consultants Inc. Class A Common Stock</t>
  </si>
  <si>
    <t>ATEC</t>
  </si>
  <si>
    <t>Alphatec Holdings Inc. Common Stock</t>
  </si>
  <si>
    <t>ATER</t>
  </si>
  <si>
    <t>Aterian Inc. Common Stock</t>
  </si>
  <si>
    <t>ATEX</t>
  </si>
  <si>
    <t>Anterix Inc. Common Stock</t>
  </si>
  <si>
    <t>ATHA</t>
  </si>
  <si>
    <t>Athira Pharma Inc. Common Stock</t>
  </si>
  <si>
    <t>ATHE</t>
  </si>
  <si>
    <t>Alterity Therapeutics Limited American Depositary Shares</t>
  </si>
  <si>
    <t>ATHX</t>
  </si>
  <si>
    <t>Athersys Inc. Common Stock</t>
  </si>
  <si>
    <t>ATIF</t>
  </si>
  <si>
    <t>ATIF Holdings Limited Ordinary Shares</t>
  </si>
  <si>
    <t>ATLC</t>
  </si>
  <si>
    <t>Atlanticus Holdings Corporation Common Stock</t>
  </si>
  <si>
    <t>ATLCP</t>
  </si>
  <si>
    <t>Atlanticus Holdings Corporation 7.625% Series B Cumulative Perpetual Preferred Stock no par value per share</t>
  </si>
  <si>
    <t>ATLO</t>
  </si>
  <si>
    <t>Ames National Corporation Common Stock</t>
  </si>
  <si>
    <t>ATNF</t>
  </si>
  <si>
    <t>180 Life Sciences Corp. Common Stock</t>
  </si>
  <si>
    <t>ATNFW</t>
  </si>
  <si>
    <t>180 Life Sciences Corp. Warrant</t>
  </si>
  <si>
    <t>ATNI</t>
  </si>
  <si>
    <t>ATN International Inc. Common Stock</t>
  </si>
  <si>
    <t>ATNX</t>
  </si>
  <si>
    <t>Athenex Inc. Common Stock</t>
  </si>
  <si>
    <t>ATOM</t>
  </si>
  <si>
    <t>Atomera Incorporated Common Stock</t>
  </si>
  <si>
    <t>ATOS</t>
  </si>
  <si>
    <t>Atossa Therapeutics Inc. Common Stock</t>
  </si>
  <si>
    <t>ATRA</t>
  </si>
  <si>
    <t>Atara Biotherapeutics Inc. Common Stock</t>
  </si>
  <si>
    <t>ATRC</t>
  </si>
  <si>
    <t>AtriCure Inc. Common Stock</t>
  </si>
  <si>
    <t>ATRI</t>
  </si>
  <si>
    <t>Atrion Corporation Common Stock</t>
  </si>
  <si>
    <t>ATRO</t>
  </si>
  <si>
    <t>Astronics Corporation Common Stock</t>
  </si>
  <si>
    <t>ATRS</t>
  </si>
  <si>
    <t>Antares Pharma Inc. Common Stock</t>
  </si>
  <si>
    <t>ATSG</t>
  </si>
  <si>
    <t>Air Transport Services Group Inc</t>
  </si>
  <si>
    <t>ATSPU</t>
  </si>
  <si>
    <t>Archimedes Tech SPAC Partners Co. Unit</t>
  </si>
  <si>
    <t>ATSPW</t>
  </si>
  <si>
    <t>Archimedes Tech SPAC Partners Co. Warrant</t>
  </si>
  <si>
    <t>ATVCW</t>
  </si>
  <si>
    <t>Tribe Capital Growth Corp I Warrant</t>
  </si>
  <si>
    <t>ATVI</t>
  </si>
  <si>
    <t>Activision Blizzard Inc. Common Stock</t>
  </si>
  <si>
    <t>ATXI</t>
  </si>
  <si>
    <t>Avenue Therapeutics Inc. Common Stock</t>
  </si>
  <si>
    <t>ATY</t>
  </si>
  <si>
    <t>AcuityAds Holdings Inc. Common Shares</t>
  </si>
  <si>
    <t>AUB</t>
  </si>
  <si>
    <t>Atlantic Union Bankshares Corporation Common Stock</t>
  </si>
  <si>
    <t>AUBAP</t>
  </si>
  <si>
    <t>Atlantic Union Bankshares Corporation Depositary Shares each representing a 1/400th ownership interest in a share of 6.875% Perpetual Non-Cumulative Preferred Stock Series A</t>
  </si>
  <si>
    <t>AUBN</t>
  </si>
  <si>
    <t>Auburn National Bancorporation Inc. Common Stock</t>
  </si>
  <si>
    <t>AUDC</t>
  </si>
  <si>
    <t>AudioCodes Ltd. Common Stock</t>
  </si>
  <si>
    <t>AUPH</t>
  </si>
  <si>
    <t>Aurinia Pharmaceuticals Inc Ordinary Shares</t>
  </si>
  <si>
    <t>AURC</t>
  </si>
  <si>
    <t>Aurora Acquisition Corp. Class A Ordinary Shares</t>
  </si>
  <si>
    <t>AURCU</t>
  </si>
  <si>
    <t>Aurora Acquisition Corp. Unit</t>
  </si>
  <si>
    <t>AURCW</t>
  </si>
  <si>
    <t>Aurora Acquisition Corp. Warrant</t>
  </si>
  <si>
    <t>AUTL</t>
  </si>
  <si>
    <t>Autolus Therapeutics plc American Depositary Share</t>
  </si>
  <si>
    <t>AUTO</t>
  </si>
  <si>
    <t>AutoWeb Inc. Common Stock</t>
  </si>
  <si>
    <t>AUUD</t>
  </si>
  <si>
    <t>Auddia Inc. Common Stock</t>
  </si>
  <si>
    <t>AUUDW</t>
  </si>
  <si>
    <t>Auddia Inc. Warrants</t>
  </si>
  <si>
    <t>AUVI</t>
  </si>
  <si>
    <t>Applied UV Inc. Common Stock</t>
  </si>
  <si>
    <t>AUVIP</t>
  </si>
  <si>
    <t>Applied UV Inc. 10.5% Series A Cumulative Perpetual Preferred Stock $0.0001 par value per share</t>
  </si>
  <si>
    <t>AVAH</t>
  </si>
  <si>
    <t>Aveanna Healthcare Holdings Inc. Common Stock</t>
  </si>
  <si>
    <t>AVAV</t>
  </si>
  <si>
    <t>AeroVironment Inc. Common Stock</t>
  </si>
  <si>
    <t>AVCO</t>
  </si>
  <si>
    <t>Avalon GloboCare Corp. Common Stock</t>
  </si>
  <si>
    <t>AVCT</t>
  </si>
  <si>
    <t>American Virtual Cloud Technologies Inc. Common Stock</t>
  </si>
  <si>
    <t>AVCTW</t>
  </si>
  <si>
    <t>American Virtual Cloud Technologies Inc. Warrant expiring 4/7/2025</t>
  </si>
  <si>
    <t>AVDL</t>
  </si>
  <si>
    <t>Avadel Pharmaceuticals plc American Depositary Shares</t>
  </si>
  <si>
    <t>AVEO</t>
  </si>
  <si>
    <t>AVEO Pharmaceuticals Inc. Common Stock</t>
  </si>
  <si>
    <t>AVGO</t>
  </si>
  <si>
    <t>Broadcom Inc. Common Stock</t>
  </si>
  <si>
    <t>AVGOP</t>
  </si>
  <si>
    <t>Broadcom Inc. 8.00% Mandatory Convertible Preferred Stock Series A</t>
  </si>
  <si>
    <t>AVGR</t>
  </si>
  <si>
    <t>Avinger Inc. Common Stock</t>
  </si>
  <si>
    <t>AVID</t>
  </si>
  <si>
    <t>Avid Technology Inc. Common Stock</t>
  </si>
  <si>
    <t>AVIR</t>
  </si>
  <si>
    <t>Atea Pharmaceuticals Inc. Common Stock</t>
  </si>
  <si>
    <t>AVNW</t>
  </si>
  <si>
    <t>Aviat Networks Inc. Common Stock</t>
  </si>
  <si>
    <t>AVO</t>
  </si>
  <si>
    <t>Mission Produce Inc. Common Stock</t>
  </si>
  <si>
    <t>AVPT</t>
  </si>
  <si>
    <t>AvePoint Inc. Class A Common Stock</t>
  </si>
  <si>
    <t>AVPTW</t>
  </si>
  <si>
    <t>AvePoint Inc. Warrant</t>
  </si>
  <si>
    <t>AVRO</t>
  </si>
  <si>
    <t>AVROBIO Inc. Common Stock</t>
  </si>
  <si>
    <t>AVT</t>
  </si>
  <si>
    <t>Avnet Inc. Common Stock</t>
  </si>
  <si>
    <t>AVTE</t>
  </si>
  <si>
    <t>Aerovate Therapeutics Inc. Common Stock</t>
  </si>
  <si>
    <t>AVXL</t>
  </si>
  <si>
    <t>Anavex Life Sciences Corp. Common Stock</t>
  </si>
  <si>
    <t>AWH</t>
  </si>
  <si>
    <t>Aspira Women's Health Inc. Common Stock</t>
  </si>
  <si>
    <t>AWRE</t>
  </si>
  <si>
    <t>Aware Inc. Common Stock</t>
  </si>
  <si>
    <t>AXDX</t>
  </si>
  <si>
    <t>Accelerate Diagnostics Inc. Common Stock</t>
  </si>
  <si>
    <t>AXGN</t>
  </si>
  <si>
    <t>Axogen Inc. Common Stock</t>
  </si>
  <si>
    <t>AXLA</t>
  </si>
  <si>
    <t>Axcella Health Inc. Common Stock</t>
  </si>
  <si>
    <t>AXNX</t>
  </si>
  <si>
    <t>Axonics Inc. Common Stock</t>
  </si>
  <si>
    <t>AXON</t>
  </si>
  <si>
    <t>Axon Enterprise Inc. Common Stock</t>
  </si>
  <si>
    <t>AXSM</t>
  </si>
  <si>
    <t>Axsome Therapeutics Inc. Common Stock</t>
  </si>
  <si>
    <t>AXTI</t>
  </si>
  <si>
    <t>AXT Inc Common Stock</t>
  </si>
  <si>
    <t>AY</t>
  </si>
  <si>
    <t>Atlantica Sustainable Infrastructure plc Ordinary Shares</t>
  </si>
  <si>
    <t>AYLA</t>
  </si>
  <si>
    <t>Ayala Pharmaceuticals Inc. Common Stock</t>
  </si>
  <si>
    <t>AYRO</t>
  </si>
  <si>
    <t>AYRO Inc. Common Stock</t>
  </si>
  <si>
    <t>AYTU</t>
  </si>
  <si>
    <t>Aytu BioPharma Inc.  Common Stock</t>
  </si>
  <si>
    <t>AZN</t>
  </si>
  <si>
    <t>AstraZeneca PLC American Depositary Shares</t>
  </si>
  <si>
    <t>AZPN</t>
  </si>
  <si>
    <t>Aspen Technology Inc. Common Stock</t>
  </si>
  <si>
    <t>AZRX</t>
  </si>
  <si>
    <t>AzurRx BioPharma Inc. Common Stock</t>
  </si>
  <si>
    <t>AZYO</t>
  </si>
  <si>
    <t>Aziyo Biologics Inc. Class A Common Stock</t>
  </si>
  <si>
    <t>BAND</t>
  </si>
  <si>
    <t>Bandwidth Inc. Class A Common Stock</t>
  </si>
  <si>
    <t>BANF</t>
  </si>
  <si>
    <t>BancFirst Corporation Common Stock</t>
  </si>
  <si>
    <t>BANFP</t>
  </si>
  <si>
    <t>BancFirst Corporation - BFC Capital Trust II Cumulative Trust Preferred Securities</t>
  </si>
  <si>
    <t>BANR</t>
  </si>
  <si>
    <t>Banner Corporation Common Stock</t>
  </si>
  <si>
    <t>BANX</t>
  </si>
  <si>
    <t>StoneCastle Financial Corp Common Stock</t>
  </si>
  <si>
    <t>BAOS</t>
  </si>
  <si>
    <t>Baosheng Media Group Holdings Limited Ordinary shares</t>
  </si>
  <si>
    <t>BASE</t>
  </si>
  <si>
    <t>Couchbase Inc. Common Stock</t>
  </si>
  <si>
    <t>BATRA</t>
  </si>
  <si>
    <t>Liberty Media Corporation Series A Liberty Braves Common Stock</t>
  </si>
  <si>
    <t>BATRK</t>
  </si>
  <si>
    <t>Liberty Media Corporation Series C Liberty Braves Common Stock</t>
  </si>
  <si>
    <t>BBBY</t>
  </si>
  <si>
    <t>Bed Bath &amp; Beyond Inc. Common Stock</t>
  </si>
  <si>
    <t>BBCP</t>
  </si>
  <si>
    <t>Concrete Pumping Holdings Inc. Common Stock</t>
  </si>
  <si>
    <t>BBGI</t>
  </si>
  <si>
    <t>Beasley Broadcast Group Inc. Class A Common Stock</t>
  </si>
  <si>
    <t>BBI</t>
  </si>
  <si>
    <t>Brickell Biotech Inc. Common Stock</t>
  </si>
  <si>
    <t>BBIG</t>
  </si>
  <si>
    <t>Vinco Ventures Inc. Common Stock</t>
  </si>
  <si>
    <t>BBIO</t>
  </si>
  <si>
    <t>BridgeBio Pharma Inc. Common Stock</t>
  </si>
  <si>
    <t>BBQ</t>
  </si>
  <si>
    <t>BBQ Holdings Inc. Common Stock</t>
  </si>
  <si>
    <t>BBSI</t>
  </si>
  <si>
    <t>Barrett Business Services Inc. Common Stock</t>
  </si>
  <si>
    <t>BCAB</t>
  </si>
  <si>
    <t>BioAtla Inc. Common Stock</t>
  </si>
  <si>
    <t>BCAC</t>
  </si>
  <si>
    <t>Brookline Capital Acquisition Corp. Common Stock</t>
  </si>
  <si>
    <t>BCACU</t>
  </si>
  <si>
    <t>Brookline Capital Acquisition Corp. Units</t>
  </si>
  <si>
    <t>BCACW</t>
  </si>
  <si>
    <t>Brookline Capital Acquisition Corp. Warrant</t>
  </si>
  <si>
    <t>BCBP</t>
  </si>
  <si>
    <t>BCB Bancorp Inc. (NJ) Common Stock</t>
  </si>
  <si>
    <t>BCDA</t>
  </si>
  <si>
    <t>BioCardia Inc. Common Stock</t>
  </si>
  <si>
    <t>BCEL</t>
  </si>
  <si>
    <t>Atreca Inc. Class A Common Stock</t>
  </si>
  <si>
    <t>BCLI</t>
  </si>
  <si>
    <t>Brainstorm Cell Therapeutics Inc. Common Stock</t>
  </si>
  <si>
    <t>BCML</t>
  </si>
  <si>
    <t>BayCom Corp Common Stock</t>
  </si>
  <si>
    <t>BCOR</t>
  </si>
  <si>
    <t>Blucora Inc. Common Stock</t>
  </si>
  <si>
    <t>BCOV</t>
  </si>
  <si>
    <t>Brightcove Inc. Common Stock</t>
  </si>
  <si>
    <t>BCOW</t>
  </si>
  <si>
    <t>1895 Bancorp of Wisconsin Inc. (MD) Common Stock</t>
  </si>
  <si>
    <t>BCPC</t>
  </si>
  <si>
    <t>Balchem Corporation Common Stock</t>
  </si>
  <si>
    <t>BCRX</t>
  </si>
  <si>
    <t>BioCryst Pharmaceuticals Inc. Common Stock</t>
  </si>
  <si>
    <t>BCTG</t>
  </si>
  <si>
    <t>BCTG Acquisition Corp. Common Stock</t>
  </si>
  <si>
    <t>BCTX</t>
  </si>
  <si>
    <t>BriaCell Therapeutics Corp. Common Shares</t>
  </si>
  <si>
    <t>BCTXW</t>
  </si>
  <si>
    <t>BriaCell Therapeutics Corp. Warrant</t>
  </si>
  <si>
    <t>BCYC</t>
  </si>
  <si>
    <t>Bicycle Therapeutics plc American Depositary Shares</t>
  </si>
  <si>
    <t>BCYP</t>
  </si>
  <si>
    <t>Big Cypress Acquisition Corp. Common stock</t>
  </si>
  <si>
    <t>BCYPU</t>
  </si>
  <si>
    <t>Big Cypress Acquisition Corp. Unit</t>
  </si>
  <si>
    <t>BCYPW</t>
  </si>
  <si>
    <t>Big Cypress Acquisition Corp. Warrant</t>
  </si>
  <si>
    <t>BDSI</t>
  </si>
  <si>
    <t>BioDelivery Sciences International Inc. Common Stock</t>
  </si>
  <si>
    <t>BDSX</t>
  </si>
  <si>
    <t>Biodesix Inc. Common Stock</t>
  </si>
  <si>
    <t>BDTX</t>
  </si>
  <si>
    <t>Black Diamond Therapeutics Inc. Common Stock</t>
  </si>
  <si>
    <t>BEAM</t>
  </si>
  <si>
    <t>Beam Therapeutics Inc. Common Stock</t>
  </si>
  <si>
    <t>BECN</t>
  </si>
  <si>
    <t>Beacon Roofing Supply Inc. Common Stock</t>
  </si>
  <si>
    <t>BEEM</t>
  </si>
  <si>
    <t>Beam Global Common Stock</t>
  </si>
  <si>
    <t>BEEMW</t>
  </si>
  <si>
    <t>Beam Global Warrant</t>
  </si>
  <si>
    <t>BELFA</t>
  </si>
  <si>
    <t>Bel Fuse Inc. Class A Common Stock</t>
  </si>
  <si>
    <t>BELFB</t>
  </si>
  <si>
    <t>Bel Fuse Inc. Class B Common Stock</t>
  </si>
  <si>
    <t>BENE</t>
  </si>
  <si>
    <t>Benessere Capital Acquisition Corp. Class A Common Stock</t>
  </si>
  <si>
    <t>BENER</t>
  </si>
  <si>
    <t>Benessere Capital Acquisition Corp. Right</t>
  </si>
  <si>
    <t>BENEU</t>
  </si>
  <si>
    <t>Benessere Capital Acquisition Corp. Unit</t>
  </si>
  <si>
    <t>BENEW</t>
  </si>
  <si>
    <t>Benessere Capital Acquisition Corp. Warrant</t>
  </si>
  <si>
    <t>BFC</t>
  </si>
  <si>
    <t>Bank First Corporation Common Stock</t>
  </si>
  <si>
    <t>BFI</t>
  </si>
  <si>
    <t>BurgerFi International Inc. Common Stock</t>
  </si>
  <si>
    <t>BFIIW</t>
  </si>
  <si>
    <t>BurgerFi International Inc. Warrant</t>
  </si>
  <si>
    <t>BFIN</t>
  </si>
  <si>
    <t>BankFinancial Corporation Common Stock</t>
  </si>
  <si>
    <t>BFRA</t>
  </si>
  <si>
    <t>Biofrontera AG American Depositary Shares</t>
  </si>
  <si>
    <t>BFST</t>
  </si>
  <si>
    <t>Business First Bancshares Inc. Common Stock</t>
  </si>
  <si>
    <t>BGCP</t>
  </si>
  <si>
    <t>BGC Partners Inc Class A Common Stock</t>
  </si>
  <si>
    <t>BGFV</t>
  </si>
  <si>
    <t>Big 5 Sporting Goods Corporation Common Stock</t>
  </si>
  <si>
    <t>BGNE</t>
  </si>
  <si>
    <t>BeiGene Ltd. American Depositary Shares</t>
  </si>
  <si>
    <t>BGRY</t>
  </si>
  <si>
    <t>Berkshire Grey Inc. Class A Common Stock</t>
  </si>
  <si>
    <t>BGRYW</t>
  </si>
  <si>
    <t>Berkshire Grey Inc. Warrant</t>
  </si>
  <si>
    <t>BHAT</t>
  </si>
  <si>
    <t>Blue Hat Interactive Entertainment Technology Ordinary Shares</t>
  </si>
  <si>
    <t>BHF</t>
  </si>
  <si>
    <t>Brighthouse Financial Inc. Common Stock</t>
  </si>
  <si>
    <t>BHFAL</t>
  </si>
  <si>
    <t>Brighthouse Financial Inc. 6.25% Junior Subordinated Debentures due 2058</t>
  </si>
  <si>
    <t>BHFAN</t>
  </si>
  <si>
    <t>Brighthouse Financial Inc. Depositary shares each representing a 1/1000th interest in a share of 5.375% Non-Cumulative Preferred Stock Series C</t>
  </si>
  <si>
    <t>BHFAO</t>
  </si>
  <si>
    <t>Brighthouse Financial Inc. Depositary Shares 6.75% Non-Cumulative Preferred Stock Series B</t>
  </si>
  <si>
    <t>BHFAP</t>
  </si>
  <si>
    <t>Brighthouse Financial Inc. Depositary Shares 6.6% Non-Cumulative Preferred Stock Series A</t>
  </si>
  <si>
    <t>BHSE</t>
  </si>
  <si>
    <t>Bull Horn Holdings Corp. Ordinary Shares</t>
  </si>
  <si>
    <t>BHSEW</t>
  </si>
  <si>
    <t>Bull Horn Holdings Corp. Warrants</t>
  </si>
  <si>
    <t>BHTG</t>
  </si>
  <si>
    <t>BioHiTech Global Inc. Common Stock</t>
  </si>
  <si>
    <t>BIDU</t>
  </si>
  <si>
    <t>Baidu Inc. ADS</t>
  </si>
  <si>
    <t>BIGC</t>
  </si>
  <si>
    <t>BigCommerce Holdings Inc. Series 1 Common Stock</t>
  </si>
  <si>
    <t>BIIB</t>
  </si>
  <si>
    <t>Biogen Inc. Common Stock</t>
  </si>
  <si>
    <t>BILI</t>
  </si>
  <si>
    <t>Bilibili Inc. American Depositary Shares</t>
  </si>
  <si>
    <t>BIMI</t>
  </si>
  <si>
    <t>BIMI International Medical Inc. Common Stock</t>
  </si>
  <si>
    <t>BIOC</t>
  </si>
  <si>
    <t>Biocept Inc. Common Stock</t>
  </si>
  <si>
    <t>BIOL</t>
  </si>
  <si>
    <t>Biolase Inc. Common Stock</t>
  </si>
  <si>
    <t>BIOT</t>
  </si>
  <si>
    <t>Biotech Acquisition Company Class A Ordinary Shares</t>
  </si>
  <si>
    <t>BIOTU</t>
  </si>
  <si>
    <t>Biotech Acquisition Company Unit</t>
  </si>
  <si>
    <t>BIOTW</t>
  </si>
  <si>
    <t>Biotech Acquisition Company Warrant</t>
  </si>
  <si>
    <t>BIOX</t>
  </si>
  <si>
    <t>Bioceres Crop Solutions Corp. Ordinary Shares</t>
  </si>
  <si>
    <t>BITF</t>
  </si>
  <si>
    <t>Bitfarms Ltd. Common Stock</t>
  </si>
  <si>
    <t>BIVI</t>
  </si>
  <si>
    <t>BioVie Inc. Class A Common Stock</t>
  </si>
  <si>
    <t>BJRI</t>
  </si>
  <si>
    <t>BJ's Restaurants Inc. Common Stock</t>
  </si>
  <si>
    <t>BKCC</t>
  </si>
  <si>
    <t>BlackRock Capital Investment Corporation Common Stock</t>
  </si>
  <si>
    <t>BKEP</t>
  </si>
  <si>
    <t>Blueknight Energy Partners L.P. Common Units</t>
  </si>
  <si>
    <t>BKEPP</t>
  </si>
  <si>
    <t>Blueknight Energy Partners L.P. Series A Preferred Units</t>
  </si>
  <si>
    <t>BKNG</t>
  </si>
  <si>
    <t>Booking Holdings Inc. Common Stock</t>
  </si>
  <si>
    <t>BKSC</t>
  </si>
  <si>
    <t>Bank of South Carolina Corp. Common Stock</t>
  </si>
  <si>
    <t>BKYI</t>
  </si>
  <si>
    <t>BIO-key International Inc. Common Stock</t>
  </si>
  <si>
    <t>BL</t>
  </si>
  <si>
    <t>BlackLine Inc. Common Stock</t>
  </si>
  <si>
    <t>BLBD</t>
  </si>
  <si>
    <t>Blue Bird Corporation Common Stock</t>
  </si>
  <si>
    <t>BLCM</t>
  </si>
  <si>
    <t>Bellicum Pharmaceuticals Inc. Common Stock</t>
  </si>
  <si>
    <t>BLCT</t>
  </si>
  <si>
    <t>BlueCity Holdings Limited American Depositary Shares</t>
  </si>
  <si>
    <t>BLDE</t>
  </si>
  <si>
    <t>Blade Air Mobility Inc. Class A Common Stock</t>
  </si>
  <si>
    <t>BLDEW</t>
  </si>
  <si>
    <t>Blade Air Mobility Inc. Warrants</t>
  </si>
  <si>
    <t>BLDP</t>
  </si>
  <si>
    <t>Ballard Power Systems Inc. Common Shares</t>
  </si>
  <si>
    <t>BLFS</t>
  </si>
  <si>
    <t>BioLife Solutions Inc. Common Stock</t>
  </si>
  <si>
    <t>BLFY</t>
  </si>
  <si>
    <t>Blue Foundry Bancorp Common Stock</t>
  </si>
  <si>
    <t>BLI</t>
  </si>
  <si>
    <t>Berkeley Lights Inc. Common Stock</t>
  </si>
  <si>
    <t>BLIN</t>
  </si>
  <si>
    <t>Bridgeline Digital Inc. Common Stock</t>
  </si>
  <si>
    <t>BLKB</t>
  </si>
  <si>
    <t>Blackbaud Inc. Common Stock</t>
  </si>
  <si>
    <t>BLMN</t>
  </si>
  <si>
    <t>Bloomin' Brands Inc. Common Stock</t>
  </si>
  <si>
    <t>BLNGU</t>
  </si>
  <si>
    <t>Belong Acquisition Corp. Units</t>
  </si>
  <si>
    <t>BLNK</t>
  </si>
  <si>
    <t>Blink Charging Co. Common Stock</t>
  </si>
  <si>
    <t>BLNKW</t>
  </si>
  <si>
    <t>Blink Charging Co. Warrant</t>
  </si>
  <si>
    <t>BLPH</t>
  </si>
  <si>
    <t>Bellerophon Therapeutics Inc. Common Stock</t>
  </si>
  <si>
    <t>BLRX</t>
  </si>
  <si>
    <t>BioLineRx Ltd. American Depositary Shares</t>
  </si>
  <si>
    <t>BLSA</t>
  </si>
  <si>
    <t>BCLS Acquisition Corp. Class A Ordinary Shares</t>
  </si>
  <si>
    <t>BLTS</t>
  </si>
  <si>
    <t>Bright Lights Acquisition Corp. Class A Common Stock</t>
  </si>
  <si>
    <t>BLTSU</t>
  </si>
  <si>
    <t>Bright Lights Acquisition Corp. Unit</t>
  </si>
  <si>
    <t>BLTSW</t>
  </si>
  <si>
    <t>Bright Lights Acquisition Corp. Warrant</t>
  </si>
  <si>
    <t>BLU</t>
  </si>
  <si>
    <t>BELLUS Health Inc. Common Shares</t>
  </si>
  <si>
    <t>BLUE</t>
  </si>
  <si>
    <t>bluebird bio Inc. Common Stock</t>
  </si>
  <si>
    <t>BLUW</t>
  </si>
  <si>
    <t>Blue Water Acquisition Corp. Class A Common Stock</t>
  </si>
  <si>
    <t>BLUWU</t>
  </si>
  <si>
    <t>Blue Water Acquisition Corp. Unit</t>
  </si>
  <si>
    <t>BLUWW</t>
  </si>
  <si>
    <t>Blue Water Acquisition Corp. Warrant</t>
  </si>
  <si>
    <t>BMBL</t>
  </si>
  <si>
    <t>Bumble Inc. Class A Common Stock</t>
  </si>
  <si>
    <t>BMEA</t>
  </si>
  <si>
    <t>Biomea Fusion Inc. Common Stock</t>
  </si>
  <si>
    <t>BMRA</t>
  </si>
  <si>
    <t>Biomerica Inc. Common Stock</t>
  </si>
  <si>
    <t>BMRC</t>
  </si>
  <si>
    <t>Bank of Marin Bancorp Common Stock</t>
  </si>
  <si>
    <t>BMRN</t>
  </si>
  <si>
    <t>BioMarin Pharmaceutical Inc. Common Stock</t>
  </si>
  <si>
    <t>BMTC</t>
  </si>
  <si>
    <t>Bryn Mawr Bank Corporation Common Stock</t>
  </si>
  <si>
    <t>BNFT</t>
  </si>
  <si>
    <t>Benefitfocus Inc. Common Stock</t>
  </si>
  <si>
    <t>BNGO</t>
  </si>
  <si>
    <t>Bionano Genomics Inc. Common Stock</t>
  </si>
  <si>
    <t>BNGOW</t>
  </si>
  <si>
    <t>Bionano Genomics Inc. Warrant</t>
  </si>
  <si>
    <t>BNR</t>
  </si>
  <si>
    <t>Burning Rock Biotech Limited American Depositary Shares</t>
  </si>
  <si>
    <t>BNSO</t>
  </si>
  <si>
    <t>Bonso Electronics International Inc. Common Stock</t>
  </si>
  <si>
    <t>BNTC</t>
  </si>
  <si>
    <t>Benitec Biopharma Inc. Common Stock</t>
  </si>
  <si>
    <t>BNTX</t>
  </si>
  <si>
    <t>BioNTech SE American Depositary Share</t>
  </si>
  <si>
    <t>BOCH</t>
  </si>
  <si>
    <t>Bank of Commerce Holdings (CA) Common Stock</t>
  </si>
  <si>
    <t>BOKF</t>
  </si>
  <si>
    <t>BOK Financial Corporation Common Stock</t>
  </si>
  <si>
    <t>BOKFL</t>
  </si>
  <si>
    <t>BOK Financial Corporation 5.375% Subordinated Notes due 2056</t>
  </si>
  <si>
    <t>BOLT</t>
  </si>
  <si>
    <t>Bolt Biotherapeutics Inc. Common Stock</t>
  </si>
  <si>
    <t>BOMN</t>
  </si>
  <si>
    <t>Boston Omaha Corporation Class A Common Stock</t>
  </si>
  <si>
    <t>BON</t>
  </si>
  <si>
    <t>Bon Natural Life Limited Ordinary Shares</t>
  </si>
  <si>
    <t>BOOM</t>
  </si>
  <si>
    <t>DMC Global Inc. Common Stock</t>
  </si>
  <si>
    <t>BOSC</t>
  </si>
  <si>
    <t>B.O.S. Better Online Solutions Common Stock</t>
  </si>
  <si>
    <t>BOTJ</t>
  </si>
  <si>
    <t>Bank of the James Financial Group Inc. Common Stock</t>
  </si>
  <si>
    <t>BOWX</t>
  </si>
  <si>
    <t>BowX Acquisition Corp. Class A Common Stock</t>
  </si>
  <si>
    <t>BOWXU</t>
  </si>
  <si>
    <t>BowX Acquisition Corp. Unit</t>
  </si>
  <si>
    <t>BOWXW</t>
  </si>
  <si>
    <t>BowX Acquisition Corp. Warrant</t>
  </si>
  <si>
    <t>BOXL</t>
  </si>
  <si>
    <t>Boxlight Corporation Class A Common Stock</t>
  </si>
  <si>
    <t>BPMC</t>
  </si>
  <si>
    <t>Blueprint Medicines Corporation Common Stock</t>
  </si>
  <si>
    <t>BPOP</t>
  </si>
  <si>
    <t>Popular Inc. Common Stock</t>
  </si>
  <si>
    <t>BPOPM</t>
  </si>
  <si>
    <t>Popular Inc. Popular Capital Trust II - 6.125% Cumulative Monthly Income Trust Preferred Securities</t>
  </si>
  <si>
    <t>BPOPN</t>
  </si>
  <si>
    <t>Popular Inc. 6.70% Cumulative Monthly Income Trust Preferred Securities</t>
  </si>
  <si>
    <t>BPRN</t>
  </si>
  <si>
    <t>The Bank of Princeton Common Stock</t>
  </si>
  <si>
    <t>BPTH</t>
  </si>
  <si>
    <t>Bio-Path Holdings Inc. Common Stock</t>
  </si>
  <si>
    <t>BPTS</t>
  </si>
  <si>
    <t>Biophytis SA American Depositary Share</t>
  </si>
  <si>
    <t>BPYPM</t>
  </si>
  <si>
    <t>Brookfield Property Partners L.P. 6.25% Class A Cumulative Redeemable Preferred Units Series 1</t>
  </si>
  <si>
    <t>BPYPN</t>
  </si>
  <si>
    <t>Brookfield Property Partners L.P. 5.750% Class A Cumulative Redeemable Perpetual Preferred Units Series 3</t>
  </si>
  <si>
    <t>BPYPO</t>
  </si>
  <si>
    <t>Brookfield Property Partners L.P. 6.375% Class A Cumulative Redeemable Perpetual Preferred Units Series 2</t>
  </si>
  <si>
    <t>BPYPP</t>
  </si>
  <si>
    <t>Brookfield Property Partners L.P. 6.50% Class A Cumulative Redeemable Perpetual Preferred Units</t>
  </si>
  <si>
    <t>BPYUP</t>
  </si>
  <si>
    <t>Brookfield Property REIT Inc. 6.375% Series A Preferred Stock</t>
  </si>
  <si>
    <t>BRCN</t>
  </si>
  <si>
    <t>Burcon NutraScience Corp. Common Stock</t>
  </si>
  <si>
    <t>BREZ</t>
  </si>
  <si>
    <t>Breeze Holdings Acquisition Corp. Common Stock</t>
  </si>
  <si>
    <t>BREZR</t>
  </si>
  <si>
    <t>Breeze Holdings Acquisition Corp. Right</t>
  </si>
  <si>
    <t>BREZW</t>
  </si>
  <si>
    <t>Breeze Holdings Acquisition Corp. Warrant</t>
  </si>
  <si>
    <t>BRID</t>
  </si>
  <si>
    <t>Bridgford Foods Corporation Common Stock</t>
  </si>
  <si>
    <t>BRIV</t>
  </si>
  <si>
    <t>B. Riley Principal 250 Merger Corp. Class A common stock</t>
  </si>
  <si>
    <t>BRIVU</t>
  </si>
  <si>
    <t>B. Riley Principal 250 Merger Corp. Units</t>
  </si>
  <si>
    <t>BRIVW</t>
  </si>
  <si>
    <t>B. Riley Principal 250 Merger Corp. Warrant</t>
  </si>
  <si>
    <t>BRKL</t>
  </si>
  <si>
    <t>Brookline Bancorp Inc. Common Stock</t>
  </si>
  <si>
    <t>BRKR</t>
  </si>
  <si>
    <t>Bruker Corporation Common Stock</t>
  </si>
  <si>
    <t>BRKS</t>
  </si>
  <si>
    <t>Brooks Automation Inc.</t>
  </si>
  <si>
    <t>BRLI</t>
  </si>
  <si>
    <t>Brilliant Acquisition Corporation Ordinary Shares</t>
  </si>
  <si>
    <t>BRLIR</t>
  </si>
  <si>
    <t>Brilliant Acquisition Corporation Rights</t>
  </si>
  <si>
    <t>BRLIW</t>
  </si>
  <si>
    <t>Brilliant Acquisition Corporation Warrants</t>
  </si>
  <si>
    <t>BROG</t>
  </si>
  <si>
    <t>Brooge Energy Limited Ordinary Shares</t>
  </si>
  <si>
    <t>BRP</t>
  </si>
  <si>
    <t>BRP Group Inc. (Insurance Company) Class A Common Stock</t>
  </si>
  <si>
    <t>BRPM</t>
  </si>
  <si>
    <t>B. Riley Principal 150 Merger Corp. Class A Common Stock</t>
  </si>
  <si>
    <t>BRPMU</t>
  </si>
  <si>
    <t>B. Riley Principal 150 Merger Corp. Unit</t>
  </si>
  <si>
    <t>BRPMW</t>
  </si>
  <si>
    <t>B. Riley Principal 150 Merger Corp. Warrant</t>
  </si>
  <si>
    <t>BRQS</t>
  </si>
  <si>
    <t>Borqs Technologies Inc. Ordinary Shares</t>
  </si>
  <si>
    <t>BRY</t>
  </si>
  <si>
    <t>Berry Corporation (bry) Common Stock</t>
  </si>
  <si>
    <t>BSBK</t>
  </si>
  <si>
    <t>Bogota Financial Corp. Common Stock</t>
  </si>
  <si>
    <t>BSET</t>
  </si>
  <si>
    <t>Bassett Furniture Industries Incorporated Common Stock</t>
  </si>
  <si>
    <t>BSGA</t>
  </si>
  <si>
    <t>Blue Safari Group Acquisition Corp. Class A Ordinary Share</t>
  </si>
  <si>
    <t>BSGAR</t>
  </si>
  <si>
    <t>Blue Safari Group Acquisition Corp. Right</t>
  </si>
  <si>
    <t>BSGAU</t>
  </si>
  <si>
    <t>Blue Safari Group Acquisition Corp. Unit</t>
  </si>
  <si>
    <t>BSGM</t>
  </si>
  <si>
    <t>BioSig Technologies Inc. Common Stock</t>
  </si>
  <si>
    <t>BSKY</t>
  </si>
  <si>
    <t>Big Sky Growth Partners Inc. Class A Common Stock</t>
  </si>
  <si>
    <t>BSKYU</t>
  </si>
  <si>
    <t>Big Sky Growth Partners Inc. Unit</t>
  </si>
  <si>
    <t>BSKYW</t>
  </si>
  <si>
    <t>Big Sky Growth Partners Inc. Warrant</t>
  </si>
  <si>
    <t>BSQR</t>
  </si>
  <si>
    <t>BSQUARE Corporation Common Stock</t>
  </si>
  <si>
    <t>BSRR</t>
  </si>
  <si>
    <t>Sierra Bancorp Common Stock</t>
  </si>
  <si>
    <t>BSVN</t>
  </si>
  <si>
    <t>Bank7 Corp. Common stock</t>
  </si>
  <si>
    <t>BSY</t>
  </si>
  <si>
    <t>Bentley Systems Incorporated Class B Common Stock</t>
  </si>
  <si>
    <t>BTAI</t>
  </si>
  <si>
    <t>BioXcel Therapeutics Inc. Common Stock</t>
  </si>
  <si>
    <t>BTAQ</t>
  </si>
  <si>
    <t>Burgundy Technology Acquisition Corporation Class A Ordinary shares</t>
  </si>
  <si>
    <t>BTAQU</t>
  </si>
  <si>
    <t>Burgundy Technology Acquisition Corporation Unit</t>
  </si>
  <si>
    <t>BTAQW</t>
  </si>
  <si>
    <t>Burgundy Technology Acquisition Corporation Warrant</t>
  </si>
  <si>
    <t>BTB</t>
  </si>
  <si>
    <t>Bit Brother Limited Ordinary Shares</t>
  </si>
  <si>
    <t>BTBT</t>
  </si>
  <si>
    <t>Bit Digital Inc. Ordinary Shares</t>
  </si>
  <si>
    <t>BTNB</t>
  </si>
  <si>
    <t>Bridgetown 2 Holdings Limited Class A Ordinary Shares</t>
  </si>
  <si>
    <t>BTRS</t>
  </si>
  <si>
    <t>BTRS Holdings Inc. Class 1 Common Stock</t>
  </si>
  <si>
    <t>BTRSW</t>
  </si>
  <si>
    <t>BTRS Holdings Inc. Warrants</t>
  </si>
  <si>
    <t>BTWN</t>
  </si>
  <si>
    <t>Bridgetown Holdings Limited Class A Ordinary Shares</t>
  </si>
  <si>
    <t>BTWNU</t>
  </si>
  <si>
    <t>Bridgetown Holdings Limited Units</t>
  </si>
  <si>
    <t>BTWNW</t>
  </si>
  <si>
    <t>Bridgetown Holdings Limited Warrants</t>
  </si>
  <si>
    <t>BUSE</t>
  </si>
  <si>
    <t>First Busey Corporation Class A Common Stock</t>
  </si>
  <si>
    <t>BVS</t>
  </si>
  <si>
    <t>Bioventus Inc. Class A Common Stock</t>
  </si>
  <si>
    <t>BVXV</t>
  </si>
  <si>
    <t>BiondVax Pharmaceuticals Ltd. American Depositary Shares</t>
  </si>
  <si>
    <t>BWAC</t>
  </si>
  <si>
    <t>Better World Acquisition Corp. Common Stock</t>
  </si>
  <si>
    <t>BWACU</t>
  </si>
  <si>
    <t>Better World Acquisition Corp. Unit</t>
  </si>
  <si>
    <t>BWACW</t>
  </si>
  <si>
    <t>Better World Acquisition Corp. Warrants</t>
  </si>
  <si>
    <t>BWAY</t>
  </si>
  <si>
    <t>BrainsWay Ltd. American Depositary Shares</t>
  </si>
  <si>
    <t>BWB</t>
  </si>
  <si>
    <t>Bridgewater Bancshares Inc. Common Stock</t>
  </si>
  <si>
    <t>BWCAU</t>
  </si>
  <si>
    <t>Blue Whale Acquisition Corp I Unit</t>
  </si>
  <si>
    <t>BWEN</t>
  </si>
  <si>
    <t>Broadwind Inc. Common Stock</t>
  </si>
  <si>
    <t>BWFG</t>
  </si>
  <si>
    <t>Bankwell Financial Group Inc. Common Stock</t>
  </si>
  <si>
    <t>BWMN</t>
  </si>
  <si>
    <t>Bowman Consulting Group Ltd. Common Stock</t>
  </si>
  <si>
    <t>BWMX</t>
  </si>
  <si>
    <t>Betterware de Mexico S.A.B. de C.V. Ordinary Shares</t>
  </si>
  <si>
    <t>BXRX</t>
  </si>
  <si>
    <t>Baudax Bio Inc. Common Stock</t>
  </si>
  <si>
    <t>BYFC</t>
  </si>
  <si>
    <t>Broadway Financial Corporation Common Stock</t>
  </si>
  <si>
    <t>BYND</t>
  </si>
  <si>
    <t>Beyond Meat Inc. Common Stock</t>
  </si>
  <si>
    <t>BYRN</t>
  </si>
  <si>
    <t>Byrna Technologies Inc. Common Stock</t>
  </si>
  <si>
    <t>BYSI</t>
  </si>
  <si>
    <t>BeyondSpring Inc. Ordinary Shares</t>
  </si>
  <si>
    <t>BYTS</t>
  </si>
  <si>
    <t>BYTE Acquisition Corp. Class A Ordinary Shares</t>
  </si>
  <si>
    <t>BYTSW</t>
  </si>
  <si>
    <t>BYTE Acquisition Corp. Warrants</t>
  </si>
  <si>
    <t>BZ</t>
  </si>
  <si>
    <t>KANZHUN LIMITED American Depository Shares</t>
  </si>
  <si>
    <t>BZUN</t>
  </si>
  <si>
    <t>Baozun Inc. American Depositary Shares</t>
  </si>
  <si>
    <t>CAAS</t>
  </si>
  <si>
    <t>China Automotive Systems Inc. Common Stock</t>
  </si>
  <si>
    <t>CABA</t>
  </si>
  <si>
    <t>Cabaletta Bio Inc. Common Stock</t>
  </si>
  <si>
    <t>CAC</t>
  </si>
  <si>
    <t>Camden National Corporation Common Stock</t>
  </si>
  <si>
    <t>CACC</t>
  </si>
  <si>
    <t>Credit Acceptance Corporation Common Stock</t>
  </si>
  <si>
    <t>CADL</t>
  </si>
  <si>
    <t>Candel Therapeutics Inc. Common Stock</t>
  </si>
  <si>
    <t>CAHC</t>
  </si>
  <si>
    <t>CA Healthcare Acquisition Corp. Class A Common Stock</t>
  </si>
  <si>
    <t>CAHCU</t>
  </si>
  <si>
    <t>CA Healthcare Acquisition Corp. Unit</t>
  </si>
  <si>
    <t>CAHCW</t>
  </si>
  <si>
    <t>CA Healthcare Acquisition Corp. Warrant</t>
  </si>
  <si>
    <t>CAKE</t>
  </si>
  <si>
    <t>Cheesecake Factory Incorporated (The) Common Stock</t>
  </si>
  <si>
    <t>CALA</t>
  </si>
  <si>
    <t>Calithera Biosciences Inc. Common Stock</t>
  </si>
  <si>
    <t>CALB</t>
  </si>
  <si>
    <t>California BanCorp Common Stock</t>
  </si>
  <si>
    <t>CALM</t>
  </si>
  <si>
    <t>Cal-Maine Foods Inc. Common Stock</t>
  </si>
  <si>
    <t>CALT</t>
  </si>
  <si>
    <t>Calliditas Therapeutics AB American Depositary Shares</t>
  </si>
  <si>
    <t>CAMP</t>
  </si>
  <si>
    <t>CalAmp Corp. Common Stock</t>
  </si>
  <si>
    <t>CAMT</t>
  </si>
  <si>
    <t>Camtek Ltd. Ordinary Shares</t>
  </si>
  <si>
    <t>CAN</t>
  </si>
  <si>
    <t>Canaan Inc. American Depositary Shares</t>
  </si>
  <si>
    <t>CAPR</t>
  </si>
  <si>
    <t>Capricor Therapeutics Inc. Common Stock</t>
  </si>
  <si>
    <t>CAR</t>
  </si>
  <si>
    <t>Avis Budget Group Inc. Common Stock</t>
  </si>
  <si>
    <t>CARA</t>
  </si>
  <si>
    <t>Cara Therapeutics Inc. Common Stock</t>
  </si>
  <si>
    <t>CARE</t>
  </si>
  <si>
    <t>Carter Bankshares Inc. Common Stock</t>
  </si>
  <si>
    <t>CARG</t>
  </si>
  <si>
    <t>CarGurus Inc. Class A Common Stock</t>
  </si>
  <si>
    <t>CARV</t>
  </si>
  <si>
    <t>Carver Bancorp Inc. Common Stock</t>
  </si>
  <si>
    <t>CASA</t>
  </si>
  <si>
    <t>Casa Systems Inc. Common Stock</t>
  </si>
  <si>
    <t>CASH</t>
  </si>
  <si>
    <t>Meta Financial Group Inc. Common Stock</t>
  </si>
  <si>
    <t>CASI</t>
  </si>
  <si>
    <t>CASI Pharmaceuticals Inc. Common Stock</t>
  </si>
  <si>
    <t>CASS</t>
  </si>
  <si>
    <t>Cass Information Systems Inc Common Stock</t>
  </si>
  <si>
    <t>CASY</t>
  </si>
  <si>
    <t>Casey's General Stores Inc. Common Stock</t>
  </si>
  <si>
    <t>CATB</t>
  </si>
  <si>
    <t>Catabasis Pharmaceuticals Inc. Common Stock</t>
  </si>
  <si>
    <t>CATC</t>
  </si>
  <si>
    <t>Cambridge Bancorp Common Stock</t>
  </si>
  <si>
    <t>CATY</t>
  </si>
  <si>
    <t>Cathay General Bancorp Common Stock</t>
  </si>
  <si>
    <t>CBAN</t>
  </si>
  <si>
    <t>Colony Bankcorp Inc. Common Stock</t>
  </si>
  <si>
    <t>CBAT</t>
  </si>
  <si>
    <t>CBAK Energy Technology Inc. Common Stock</t>
  </si>
  <si>
    <t>CBAY</t>
  </si>
  <si>
    <t>CymaBay Therapeutics Inc. Common Stock</t>
  </si>
  <si>
    <t>CBFV</t>
  </si>
  <si>
    <t>CB Financial Services Inc. Common Stock</t>
  </si>
  <si>
    <t>CBIO</t>
  </si>
  <si>
    <t>Catalyst Biosciences Inc. Common Stock</t>
  </si>
  <si>
    <t>CBLI</t>
  </si>
  <si>
    <t>Cytocom Inc.  Common Stock</t>
  </si>
  <si>
    <t>CBMB</t>
  </si>
  <si>
    <t>CBM Bancorp Inc. Common Stock</t>
  </si>
  <si>
    <t>CBNK</t>
  </si>
  <si>
    <t>Capital Bancorp Inc. Common Stock</t>
  </si>
  <si>
    <t>CBRL</t>
  </si>
  <si>
    <t>Cracker Barrel Old Country Store Inc Common Stock</t>
  </si>
  <si>
    <t>CBSH</t>
  </si>
  <si>
    <t>Commerce Bancshares Inc. Common Stock</t>
  </si>
  <si>
    <t>CBTX</t>
  </si>
  <si>
    <t>CBTX Inc. Common Stock</t>
  </si>
  <si>
    <t>CCAP</t>
  </si>
  <si>
    <t>Crescent Capital BDC Inc. Common stock</t>
  </si>
  <si>
    <t>CCB</t>
  </si>
  <si>
    <t>Coastal Financial Corporation Common Stock</t>
  </si>
  <si>
    <t>CCBG</t>
  </si>
  <si>
    <t>Capital City Bank Group Common Stock</t>
  </si>
  <si>
    <t>CCCC</t>
  </si>
  <si>
    <t>C4 Therapeutics Inc. Common Stock</t>
  </si>
  <si>
    <t>CCD</t>
  </si>
  <si>
    <t>Calamos Dynamic Convertible &amp; Income Fund Common Stock</t>
  </si>
  <si>
    <t>CCLP</t>
  </si>
  <si>
    <t>CSI Compressco LP Common Units</t>
  </si>
  <si>
    <t>CCMP</t>
  </si>
  <si>
    <t>CMC Materials Inc. Common Stock</t>
  </si>
  <si>
    <t>CCNC</t>
  </si>
  <si>
    <t>Code Chain New Continent Limited Common Stock</t>
  </si>
  <si>
    <t>CCNE</t>
  </si>
  <si>
    <t>CNB Financial Corporation Common Stock</t>
  </si>
  <si>
    <t>CCNEP</t>
  </si>
  <si>
    <t>CNB Financial Corporation Depositary Shares each representing a 1/40th ownership interest in a share of 7.125% Series A Fixed-Rate Non-Cumulative Perpetual Preferred Stock</t>
  </si>
  <si>
    <t>CCOI</t>
  </si>
  <si>
    <t>Cogent Communications Holdings Inc.</t>
  </si>
  <si>
    <t>CCRN</t>
  </si>
  <si>
    <t>Cross Country Healthcare Inc. Common Stock $0.0001 Par Value</t>
  </si>
  <si>
    <t>CCXI</t>
  </si>
  <si>
    <t>ChemoCentryx Inc. Common Stock</t>
  </si>
  <si>
    <t>CD</t>
  </si>
  <si>
    <t>Chindata Group Holdings Limited American Depositary Shares</t>
  </si>
  <si>
    <t>CDAK</t>
  </si>
  <si>
    <t>Codiak BioSciences Inc. Common Stock</t>
  </si>
  <si>
    <t>CDEV</t>
  </si>
  <si>
    <t>Centennial Resource Development Inc. Class A Common Stock</t>
  </si>
  <si>
    <t>CDK</t>
  </si>
  <si>
    <t>CDK Global Inc. Common Stock</t>
  </si>
  <si>
    <t>CDLX</t>
  </si>
  <si>
    <t>Cardlytics Inc. Common Stock</t>
  </si>
  <si>
    <t>CDMO</t>
  </si>
  <si>
    <t>Avid Bioservices Inc. Common Stock</t>
  </si>
  <si>
    <t>CDNA</t>
  </si>
  <si>
    <t>CareDx Inc. Common Stock</t>
  </si>
  <si>
    <t>CDNS</t>
  </si>
  <si>
    <t>Cadence Design Systems Inc. Common Stock</t>
  </si>
  <si>
    <t>CDTX</t>
  </si>
  <si>
    <t>Cidara Therapeutics Inc. Common Stock</t>
  </si>
  <si>
    <t>CDW</t>
  </si>
  <si>
    <t>CDW Corporation Common Stock</t>
  </si>
  <si>
    <t>CDXC</t>
  </si>
  <si>
    <t>ChromaDex Corporation Common Stock</t>
  </si>
  <si>
    <t>CDXS</t>
  </si>
  <si>
    <t>Codexis Inc. Common Stock</t>
  </si>
  <si>
    <t>CDZI</t>
  </si>
  <si>
    <t>CADIZ Inc. Common Stock</t>
  </si>
  <si>
    <t>CDZIP</t>
  </si>
  <si>
    <t>Cadiz Inc. Depositary Shares</t>
  </si>
  <si>
    <t>CECE</t>
  </si>
  <si>
    <t>CECO Environmental Corp. Common Stock</t>
  </si>
  <si>
    <t>CELC</t>
  </si>
  <si>
    <t>Celcuity Inc. Common Stock</t>
  </si>
  <si>
    <t>CELH</t>
  </si>
  <si>
    <t>Celsius Holdings Inc. Common Stock</t>
  </si>
  <si>
    <t>CELU</t>
  </si>
  <si>
    <t>Celularity Inc. Class A Common Stock</t>
  </si>
  <si>
    <t>CELUW</t>
  </si>
  <si>
    <t>Celularity Inc. Warrant</t>
  </si>
  <si>
    <t>CEMI</t>
  </si>
  <si>
    <t>Chembio Diagnostics Inc. Common Stock</t>
  </si>
  <si>
    <t>CENH</t>
  </si>
  <si>
    <t>Centricus Acquisition Corp. Class A Ordinary Share</t>
  </si>
  <si>
    <t>CENHU</t>
  </si>
  <si>
    <t>Centricus Acquisition Corp. Unit</t>
  </si>
  <si>
    <t>CENHW</t>
  </si>
  <si>
    <t>Centricus Acquisition Corp. Warrant</t>
  </si>
  <si>
    <t>CENT</t>
  </si>
  <si>
    <t>Central Garden &amp; Pet Company Common Stock</t>
  </si>
  <si>
    <t>CENTA</t>
  </si>
  <si>
    <t>Central Garden &amp; Pet Company Class A Common Stock Nonvoting</t>
  </si>
  <si>
    <t>CENX</t>
  </si>
  <si>
    <t>Century Aluminum Company Common Stock</t>
  </si>
  <si>
    <t>CERC</t>
  </si>
  <si>
    <t>Cerecor Inc. Common Stock</t>
  </si>
  <si>
    <t>CERE</t>
  </si>
  <si>
    <t>Cerevel Therapeutics Holdings Inc. Common Stock</t>
  </si>
  <si>
    <t>CEREW</t>
  </si>
  <si>
    <t>Cerevel Therapeutics Holdings Inc. Warrant</t>
  </si>
  <si>
    <t>CERN</t>
  </si>
  <si>
    <t>Cerner Corporation Common Stock</t>
  </si>
  <si>
    <t>CERS</t>
  </si>
  <si>
    <t>Cerus Corporation Common Stock</t>
  </si>
  <si>
    <t>CERT</t>
  </si>
  <si>
    <t>Certara Inc. Common Stock</t>
  </si>
  <si>
    <t>CETX</t>
  </si>
  <si>
    <t>Cemtrex Inc. Common Stock</t>
  </si>
  <si>
    <t>CETXP</t>
  </si>
  <si>
    <t>Cemtrex Inc. Series 1 Preferred Stock</t>
  </si>
  <si>
    <t>CETXW</t>
  </si>
  <si>
    <t>Cemtrex Inc. Series 1 Warrant</t>
  </si>
  <si>
    <t>CEVA</t>
  </si>
  <si>
    <t>CEVA Inc. Common Stock</t>
  </si>
  <si>
    <t>CFAC</t>
  </si>
  <si>
    <t>CF Finance Acquisition Corp. III Common Stock</t>
  </si>
  <si>
    <t>CFACU</t>
  </si>
  <si>
    <t>CF Finance Acquisition Corp. III Unit</t>
  </si>
  <si>
    <t>CFACW</t>
  </si>
  <si>
    <t>CF Finance Acquisition Corp. III Warrant</t>
  </si>
  <si>
    <t>CFB</t>
  </si>
  <si>
    <t>CrossFirst Bankshares Inc. Common Stock</t>
  </si>
  <si>
    <t>CFBK</t>
  </si>
  <si>
    <t>CF Bankshares Inc. Common Stock</t>
  </si>
  <si>
    <t>CFFE</t>
  </si>
  <si>
    <t>CF Acquisition Corp. VIII Class A Common Stock</t>
  </si>
  <si>
    <t>CFFEU</t>
  </si>
  <si>
    <t>CF Acquisition Corp. VIII Unit</t>
  </si>
  <si>
    <t>CFFEW</t>
  </si>
  <si>
    <t>CF Acquisition Corp. VIII Warrant</t>
  </si>
  <si>
    <t>CFFI</t>
  </si>
  <si>
    <t>C&amp;F Financial Corporation Common Stock</t>
  </si>
  <si>
    <t>CFFN</t>
  </si>
  <si>
    <t>Capitol Federal Financial Inc. Common Stock</t>
  </si>
  <si>
    <t>CFFVU</t>
  </si>
  <si>
    <t>CF Acquisition Corp. V Unit</t>
  </si>
  <si>
    <t>CFFVW</t>
  </si>
  <si>
    <t>CF Acquisition Corp. V Warrant</t>
  </si>
  <si>
    <t>CFIV</t>
  </si>
  <si>
    <t>CF Acquisition Corp. IV Class A common stock</t>
  </si>
  <si>
    <t>CFIVU</t>
  </si>
  <si>
    <t>CF Acquisition Corp. IV Unit</t>
  </si>
  <si>
    <t>CFIVW</t>
  </si>
  <si>
    <t>CF Acquisition Corp. IV Warrant</t>
  </si>
  <si>
    <t>CFLT</t>
  </si>
  <si>
    <t>Confluent Inc. Class A Common Stock</t>
  </si>
  <si>
    <t>CFMS</t>
  </si>
  <si>
    <t>Conformis Inc. Common Stock</t>
  </si>
  <si>
    <t>CFRX</t>
  </si>
  <si>
    <t>ContraFect Corporation Common Stock</t>
  </si>
  <si>
    <t>CFV</t>
  </si>
  <si>
    <t>CF Acquisition Corp. V Class A Common Stock</t>
  </si>
  <si>
    <t>CFVI</t>
  </si>
  <si>
    <t>CF Acquisition Corp. VI Class A Common Stock</t>
  </si>
  <si>
    <t>CFVIW</t>
  </si>
  <si>
    <t>CF Acquisition Corp. VI Warrant</t>
  </si>
  <si>
    <t>CG</t>
  </si>
  <si>
    <t>The Carlyle Group Inc. Common Stock</t>
  </si>
  <si>
    <t>CGABL</t>
  </si>
  <si>
    <t>The Carlyle Group Inc. 4.625% Subordinated Notes due 2061</t>
  </si>
  <si>
    <t>CGBD</t>
  </si>
  <si>
    <t>TCG BDC Inc. Common Stock</t>
  </si>
  <si>
    <t>CGC</t>
  </si>
  <si>
    <t>Canopy Growth Corporation Common Shares</t>
  </si>
  <si>
    <t>CGEM</t>
  </si>
  <si>
    <t>Cullinan Oncology Inc. Common Stock</t>
  </si>
  <si>
    <t>CGEN</t>
  </si>
  <si>
    <t>Compugen Ltd. Ordinary Shares</t>
  </si>
  <si>
    <t>CGNT</t>
  </si>
  <si>
    <t>Cognyte Software Ltd. Ordinary Shares</t>
  </si>
  <si>
    <t>CGNX</t>
  </si>
  <si>
    <t>Cognex Corporation Common Stock</t>
  </si>
  <si>
    <t>CGO</t>
  </si>
  <si>
    <t>Calamos Global Total Return Fund Common Stock</t>
  </si>
  <si>
    <t>CGRN</t>
  </si>
  <si>
    <t>Capstone Green Energy Corporation Common Stock</t>
  </si>
  <si>
    <t>CHCI</t>
  </si>
  <si>
    <t>Comstock Holding Companies Inc. Class A Common Stock</t>
  </si>
  <si>
    <t>CHCO</t>
  </si>
  <si>
    <t>City Holding Company Common Stock</t>
  </si>
  <si>
    <t>CHDN</t>
  </si>
  <si>
    <t>Churchill Downs Incorporated Common Stock</t>
  </si>
  <si>
    <t>CHEF</t>
  </si>
  <si>
    <t>The Chefs' Warehouse Inc. Common Stock</t>
  </si>
  <si>
    <t>CHEK</t>
  </si>
  <si>
    <t>Check-Cap Ltd. Ordinary Share</t>
  </si>
  <si>
    <t>CHEKZ</t>
  </si>
  <si>
    <t>Check-Cap Ltd. Series C Warrant</t>
  </si>
  <si>
    <t>CHI</t>
  </si>
  <si>
    <t>Calamos Convertible Opportunities and Income Fund Common Stock</t>
  </si>
  <si>
    <t>CHK</t>
  </si>
  <si>
    <t>Chesapeake Energy Corporation Common Stock</t>
  </si>
  <si>
    <t>CHKEL</t>
  </si>
  <si>
    <t>Chesapeake Energy Corporation Class C Warrants</t>
  </si>
  <si>
    <t>CHKEW</t>
  </si>
  <si>
    <t>Chesapeake Energy Corporation Class A Warrants</t>
  </si>
  <si>
    <t>CHKEZ</t>
  </si>
  <si>
    <t>Chesapeake Energy Corporation Class B Warrants</t>
  </si>
  <si>
    <t>CHKP</t>
  </si>
  <si>
    <t>Check Point Software Technologies Ltd. Ordinary Shares</t>
  </si>
  <si>
    <t>CHMG</t>
  </si>
  <si>
    <t>Chemung Financial Corp Common Stock</t>
  </si>
  <si>
    <t>CHNG</t>
  </si>
  <si>
    <t>Change Healthcare Inc. Common Stock</t>
  </si>
  <si>
    <t>CHNGU</t>
  </si>
  <si>
    <t>Change Healthcare Inc. Tangible Equity Units</t>
  </si>
  <si>
    <t>CHNR</t>
  </si>
  <si>
    <t>China Natural Resources Inc. Common Stock</t>
  </si>
  <si>
    <t>CHPM</t>
  </si>
  <si>
    <t>CHP Merger Corp. Class A Common Stock</t>
  </si>
  <si>
    <t>CHPMW</t>
  </si>
  <si>
    <t>CHP Merger Corp. Warrant</t>
  </si>
  <si>
    <t>CHRS</t>
  </si>
  <si>
    <t>Coherus BioSciences Inc. Common Stock</t>
  </si>
  <si>
    <t>CHRW</t>
  </si>
  <si>
    <t>C.H. Robinson Worldwide Inc. Common Stock</t>
  </si>
  <si>
    <t>CHSCL</t>
  </si>
  <si>
    <t>CHS Inc Class B Cumulative Redeemable Preferred Stock Series 4</t>
  </si>
  <si>
    <t>CHSCM</t>
  </si>
  <si>
    <t>CHS Inc Class B Reset Rate Cumulative Redeemable Preferred Stock Series 3</t>
  </si>
  <si>
    <t>CHSCN</t>
  </si>
  <si>
    <t>CHS Inc Preferred Class B Series 2 Reset Rate</t>
  </si>
  <si>
    <t>CHSCO</t>
  </si>
  <si>
    <t>CHS Inc. Class B Cumulative Redeemable Preferred Stock</t>
  </si>
  <si>
    <t>CHSCP</t>
  </si>
  <si>
    <t>CHS Inc. 8%  Cumulative Redeemable Preferred Stock</t>
  </si>
  <si>
    <t>CHTR</t>
  </si>
  <si>
    <t>Charter Communications Inc. Class A Common Stock New</t>
  </si>
  <si>
    <t>CHUY</t>
  </si>
  <si>
    <t>Chuy's Holdings Inc. Common Stock</t>
  </si>
  <si>
    <t>CHW</t>
  </si>
  <si>
    <t>Calamos Global Dynamic Income Fund Common Stock</t>
  </si>
  <si>
    <t>CHX</t>
  </si>
  <si>
    <t>ChampionX Corporation Common Stock</t>
  </si>
  <si>
    <t>CHY</t>
  </si>
  <si>
    <t>Calamos Convertible and High Income Fund Common Stock</t>
  </si>
  <si>
    <t>CIDM</t>
  </si>
  <si>
    <t>Cinedigm Corp. Class A Common Stock</t>
  </si>
  <si>
    <t>CIGI</t>
  </si>
  <si>
    <t>Colliers International Group Inc. Subordinate Voting Shares</t>
  </si>
  <si>
    <t>CIH</t>
  </si>
  <si>
    <t>China Index Holdings Limited American Depository Shares</t>
  </si>
  <si>
    <t>CINF</t>
  </si>
  <si>
    <t>Cincinnati Financial Corporation Common Stock</t>
  </si>
  <si>
    <t>CIVB</t>
  </si>
  <si>
    <t>Civista Bancshares Inc. Common Stock</t>
  </si>
  <si>
    <t>CIZN</t>
  </si>
  <si>
    <t>Citizens Holding Company Common Stock</t>
  </si>
  <si>
    <t>CJJD</t>
  </si>
  <si>
    <t>China Jo-Jo Drugstores Inc. (Cayman Islands) Ordinary Shares</t>
  </si>
  <si>
    <t>CKPT</t>
  </si>
  <si>
    <t>Checkpoint Therapeutics Inc. Common Stock</t>
  </si>
  <si>
    <t>CLAQ</t>
  </si>
  <si>
    <t>CleanTech Acquisition Corp. Common stock</t>
  </si>
  <si>
    <t>CLAQR</t>
  </si>
  <si>
    <t>CleanTech Acquisition Corp. Rights</t>
  </si>
  <si>
    <t>CLAQU</t>
  </si>
  <si>
    <t>CleanTech Acquisition Corp. Units</t>
  </si>
  <si>
    <t>CLAQW</t>
  </si>
  <si>
    <t>CleanTech Acquisition Corp. Warrant</t>
  </si>
  <si>
    <t>CLAR</t>
  </si>
  <si>
    <t>Clarus Corporation Common Stock</t>
  </si>
  <si>
    <t>CLAYU</t>
  </si>
  <si>
    <t>Chavant Capital Acquisition Corp. Unit</t>
  </si>
  <si>
    <t>CLBK</t>
  </si>
  <si>
    <t>Columbia Financial Inc. Common Stock</t>
  </si>
  <si>
    <t>CLBS</t>
  </si>
  <si>
    <t>Caladrius Biosciences Inc. Common Stock</t>
  </si>
  <si>
    <t>CLDB</t>
  </si>
  <si>
    <t>Cortland Bancorp Common Stock</t>
  </si>
  <si>
    <t>CLDX</t>
  </si>
  <si>
    <t>Celldex Therapeutics Inc.</t>
  </si>
  <si>
    <t>CLEU</t>
  </si>
  <si>
    <t>China Liberal Education Holdings Limited Ordinary Shares</t>
  </si>
  <si>
    <t>CLFD</t>
  </si>
  <si>
    <t>Clearfield Inc. Common Stock</t>
  </si>
  <si>
    <t>CLGN</t>
  </si>
  <si>
    <t>CollPlant Biotechnologies Ltd Ordinary Shares</t>
  </si>
  <si>
    <t>CLIR</t>
  </si>
  <si>
    <t>ClearSign Technologies Corporation Common Stock</t>
  </si>
  <si>
    <t>CLLS</t>
  </si>
  <si>
    <t>Cellectis S.A. American Depositary Shares</t>
  </si>
  <si>
    <t>CLMT</t>
  </si>
  <si>
    <t>Calumet Specialty Products Partners L.P. Common Units</t>
  </si>
  <si>
    <t>CLNE</t>
  </si>
  <si>
    <t>Clean Energy Fuels Corp. Common Stock</t>
  </si>
  <si>
    <t>CLNN</t>
  </si>
  <si>
    <t>Clene Inc. Common Stock</t>
  </si>
  <si>
    <t>CLNNW</t>
  </si>
  <si>
    <t>Clene Inc. Warrant</t>
  </si>
  <si>
    <t>CLOEU</t>
  </si>
  <si>
    <t>Clover Leaf Capital Corp. Unit</t>
  </si>
  <si>
    <t>CLOV</t>
  </si>
  <si>
    <t>Clover Health Investments Corp. Class A Common Stock</t>
  </si>
  <si>
    <t>CLOVW</t>
  </si>
  <si>
    <t>Clover Health Investments Corp. Warrants</t>
  </si>
  <si>
    <t>CLPS</t>
  </si>
  <si>
    <t>CLPS Incorporation Common Stock</t>
  </si>
  <si>
    <t>CLPT</t>
  </si>
  <si>
    <t>ClearPoint Neuro Inc. Common Stock</t>
  </si>
  <si>
    <t>CLRB</t>
  </si>
  <si>
    <t>Cellectar Biosciences Inc.  Common Stock</t>
  </si>
  <si>
    <t>CLRM</t>
  </si>
  <si>
    <t>Clarim Acquisition Corp. Class A Common Stock</t>
  </si>
  <si>
    <t>CLRMU</t>
  </si>
  <si>
    <t>Clarim Acquisition Corp. Unit</t>
  </si>
  <si>
    <t>CLRMW</t>
  </si>
  <si>
    <t>Clarim Acquisition Corp. Warrant</t>
  </si>
  <si>
    <t>CLRO</t>
  </si>
  <si>
    <t>ClearOne Inc. (DE) Common Stock</t>
  </si>
  <si>
    <t>CLSD</t>
  </si>
  <si>
    <t>Clearside Biomedical Inc. Common Stock</t>
  </si>
  <si>
    <t>CLSK</t>
  </si>
  <si>
    <t>CleanSpark Inc. Common Stock</t>
  </si>
  <si>
    <t>CLSN</t>
  </si>
  <si>
    <t>Celsion Corporation Common Stock</t>
  </si>
  <si>
    <t>CLVR</t>
  </si>
  <si>
    <t>Clever Leaves Holdings Inc. Common Shares</t>
  </si>
  <si>
    <t>CLVRW</t>
  </si>
  <si>
    <t>Clever Leaves Holdings Inc. Warrant</t>
  </si>
  <si>
    <t>CLVS</t>
  </si>
  <si>
    <t>Clovis Oncology Inc. Common Stock</t>
  </si>
  <si>
    <t>CLWT</t>
  </si>
  <si>
    <t>Euro Tech Holdings Company Limited Common Stock</t>
  </si>
  <si>
    <t>CLXT</t>
  </si>
  <si>
    <t>Calyxt Inc. Common Stock</t>
  </si>
  <si>
    <t>CMAX</t>
  </si>
  <si>
    <t>CareMax Inc. Class A Common Stock</t>
  </si>
  <si>
    <t>CMAXW</t>
  </si>
  <si>
    <t>CareMax Inc. Warrant</t>
  </si>
  <si>
    <t>CMBM</t>
  </si>
  <si>
    <t>Cambium Networks Corporation Ordinary Shares</t>
  </si>
  <si>
    <t>CMCO</t>
  </si>
  <si>
    <t>Columbus McKinnon Corporation Common Stock</t>
  </si>
  <si>
    <t>CMCSA</t>
  </si>
  <si>
    <t>Comcast Corporation Class A Common Stock</t>
  </si>
  <si>
    <t>CMCT</t>
  </si>
  <si>
    <t>CIM Commercial Trust Corporation Common stock</t>
  </si>
  <si>
    <t>CME</t>
  </si>
  <si>
    <t>CME Group Inc. Class A Common Stock</t>
  </si>
  <si>
    <t>CMII</t>
  </si>
  <si>
    <t>CM Life Sciences II Inc. Class A Common Stock</t>
  </si>
  <si>
    <t>CMIIU</t>
  </si>
  <si>
    <t>CM Life Sciences II Inc. Unit</t>
  </si>
  <si>
    <t>CMIIW</t>
  </si>
  <si>
    <t>CM Life Sciences II Inc. Warrant</t>
  </si>
  <si>
    <t>CMLS</t>
  </si>
  <si>
    <t>Cumulus Media Inc. Class A Common Stock</t>
  </si>
  <si>
    <t>CMLT</t>
  </si>
  <si>
    <t>CM Life Sciences III Inc. Class A Common Stock</t>
  </si>
  <si>
    <t>CMLTU</t>
  </si>
  <si>
    <t>CM Life Sciences III Inc. Unit</t>
  </si>
  <si>
    <t>CMLTW</t>
  </si>
  <si>
    <t>CM Life Sciences III Inc. Warrant</t>
  </si>
  <si>
    <t>CMMB</t>
  </si>
  <si>
    <t>Chemomab Therapeutics Ltd. American Depositary Share</t>
  </si>
  <si>
    <t>CMPI</t>
  </si>
  <si>
    <t>Checkmate Pharmaceuticals Inc. Common Stock</t>
  </si>
  <si>
    <t>CMPR</t>
  </si>
  <si>
    <t>Cimpress plc Ordinary Shares (Ireland)</t>
  </si>
  <si>
    <t>CMPS</t>
  </si>
  <si>
    <t>COMPASS Pathways Plc American Depository Shares</t>
  </si>
  <si>
    <t>CMRX</t>
  </si>
  <si>
    <t>Chimerix Inc. Common Stock</t>
  </si>
  <si>
    <t>CMTL</t>
  </si>
  <si>
    <t>Comtech Telecommunications Corp. Common Stock</t>
  </si>
  <si>
    <t>CNBKA</t>
  </si>
  <si>
    <t>Century Bancorp Inc. Class A Common Stock</t>
  </si>
  <si>
    <t>CNCE</t>
  </si>
  <si>
    <t>Concert Pharmaceuticals Inc. Common Stock</t>
  </si>
  <si>
    <t>CNDT</t>
  </si>
  <si>
    <t>Conduent Incorporated Common Stock</t>
  </si>
  <si>
    <t>CNET</t>
  </si>
  <si>
    <t>ZW Data Action Technologies Inc. Common Stock</t>
  </si>
  <si>
    <t>CNEY</t>
  </si>
  <si>
    <t>CN Energy Group Inc. Ordinary Shares</t>
  </si>
  <si>
    <t>CNFR</t>
  </si>
  <si>
    <t>Conifer Holdings Inc. Common Stock</t>
  </si>
  <si>
    <t>CNFRL</t>
  </si>
  <si>
    <t>Conifer Holdings Inc. 6.75% Senior Unsecured Notes due 2023</t>
  </si>
  <si>
    <t>CNNB</t>
  </si>
  <si>
    <t>Cincinnati Bancorp Inc. Common Stock</t>
  </si>
  <si>
    <t>CNOB</t>
  </si>
  <si>
    <t>ConnectOne Bancorp Inc. Common Stock</t>
  </si>
  <si>
    <t>CNSL</t>
  </si>
  <si>
    <t>Consolidated Communications Holdings Inc. Common Stock</t>
  </si>
  <si>
    <t>CNSP</t>
  </si>
  <si>
    <t>CNS Pharmaceuticals Inc. Common Stock</t>
  </si>
  <si>
    <t>CNTA</t>
  </si>
  <si>
    <t>Centessa Pharmaceuticals plc American Depositary Shares</t>
  </si>
  <si>
    <t>CNTB</t>
  </si>
  <si>
    <t>Connect Biopharma Holdings Limited American Depositary Shares</t>
  </si>
  <si>
    <t>CNTG</t>
  </si>
  <si>
    <t>Centogene N.V. Common Shares</t>
  </si>
  <si>
    <t>CNTY</t>
  </si>
  <si>
    <t>Century Casinos Inc. Common Stock</t>
  </si>
  <si>
    <t>CNXC</t>
  </si>
  <si>
    <t>Concentrix Corporation Common Stock</t>
  </si>
  <si>
    <t>CNXN</t>
  </si>
  <si>
    <t>PC Connection Inc. Common Stock</t>
  </si>
  <si>
    <t>COCP</t>
  </si>
  <si>
    <t>Cocrystal Pharma Inc. Common Stock</t>
  </si>
  <si>
    <t>CODA</t>
  </si>
  <si>
    <t>Coda Octopus Group Inc. Common stock</t>
  </si>
  <si>
    <t>CODX</t>
  </si>
  <si>
    <t>Co-Diagnostics Inc. Common Stock</t>
  </si>
  <si>
    <t>COFS</t>
  </si>
  <si>
    <t>ChoiceOne Financial Services Inc. Common Stock</t>
  </si>
  <si>
    <t>COGT</t>
  </si>
  <si>
    <t>Cogent Biosciences Inc. Common Stock</t>
  </si>
  <si>
    <t>COHR</t>
  </si>
  <si>
    <t>Coherent Inc. Common Stock</t>
  </si>
  <si>
    <t>COHU</t>
  </si>
  <si>
    <t>Cohu Inc. Common Stock</t>
  </si>
  <si>
    <t>COIN</t>
  </si>
  <si>
    <t>Coinbase Global Inc. Class A Common Stock</t>
  </si>
  <si>
    <t>COKE</t>
  </si>
  <si>
    <t>Coca-Cola Consolidated Inc. Common Stock</t>
  </si>
  <si>
    <t>COLB</t>
  </si>
  <si>
    <t>Columbia Banking System Inc. Common Stock</t>
  </si>
  <si>
    <t>COLI</t>
  </si>
  <si>
    <t>Colicity Inc. Class A Common Stock</t>
  </si>
  <si>
    <t>COLIU</t>
  </si>
  <si>
    <t>Colicity Inc. Units</t>
  </si>
  <si>
    <t>COLIW</t>
  </si>
  <si>
    <t>Colicity Inc. Warrant</t>
  </si>
  <si>
    <t>COLL</t>
  </si>
  <si>
    <t>Collegium Pharmaceutical Inc. Common Stock</t>
  </si>
  <si>
    <t>COLM</t>
  </si>
  <si>
    <t>Columbia Sportswear Company Common Stock</t>
  </si>
  <si>
    <t>COMM</t>
  </si>
  <si>
    <t>CommScope Holding Company Inc. Common Stock</t>
  </si>
  <si>
    <t>COMS</t>
  </si>
  <si>
    <t>ComSovereign Holding Corp. Common Stock</t>
  </si>
  <si>
    <t>COMSW</t>
  </si>
  <si>
    <t>ComSovereign Holding Corp. Warrants</t>
  </si>
  <si>
    <t>CONE</t>
  </si>
  <si>
    <t>CyrusOne Inc Common Stock</t>
  </si>
  <si>
    <t>CONN</t>
  </si>
  <si>
    <t>Conn's Inc. Common Stock</t>
  </si>
  <si>
    <t>CONX</t>
  </si>
  <si>
    <t>CONX Corp. Class A Common Stock</t>
  </si>
  <si>
    <t>CONXU</t>
  </si>
  <si>
    <t>CONX Corp. Unit</t>
  </si>
  <si>
    <t>CONXW</t>
  </si>
  <si>
    <t>CONX Corp. Warrant</t>
  </si>
  <si>
    <t>COOL</t>
  </si>
  <si>
    <t>Corner Growth Acquisition Corp. Class A Ordinary Shares</t>
  </si>
  <si>
    <t>COOLU</t>
  </si>
  <si>
    <t>Corner Growth Acquisition Corp. Unit</t>
  </si>
  <si>
    <t>COOLW</t>
  </si>
  <si>
    <t>Corner Growth Acquisition Corp. Warrant</t>
  </si>
  <si>
    <t>COOP</t>
  </si>
  <si>
    <t>Mr. Cooper Group Inc. Common Stock</t>
  </si>
  <si>
    <t>CORE</t>
  </si>
  <si>
    <t>Core Mark Holding Co Inc Common Stock</t>
  </si>
  <si>
    <t>CORT</t>
  </si>
  <si>
    <t>Corcept Therapeutics Incorporated Common Stock</t>
  </si>
  <si>
    <t>COST</t>
  </si>
  <si>
    <t>Costco Wholesale Corporation Common Stock</t>
  </si>
  <si>
    <t>COUP</t>
  </si>
  <si>
    <t>Coupa Software Incorporated Common Stock</t>
  </si>
  <si>
    <t>COVA</t>
  </si>
  <si>
    <t>COVA Acquisition Corp. Class A Ordinary Share</t>
  </si>
  <si>
    <t>COVAU</t>
  </si>
  <si>
    <t>COVA Acquisition Corp. Unit</t>
  </si>
  <si>
    <t>COVAW</t>
  </si>
  <si>
    <t>COVA Acquisition Corp. Warrants to purchase Class A ordinary shares</t>
  </si>
  <si>
    <t>COWN</t>
  </si>
  <si>
    <t>Cowen Inc. Class A Common Stock</t>
  </si>
  <si>
    <t>COWNL</t>
  </si>
  <si>
    <t>Cowen Inc. 7.75% Senior Notes due 2033</t>
  </si>
  <si>
    <t>CPAR</t>
  </si>
  <si>
    <t>Catalyst Partners Acquisition Corp. Class A Ordinary Share</t>
  </si>
  <si>
    <t>CPARU</t>
  </si>
  <si>
    <t>Catalyst Partners Acquisition Corp. Unit</t>
  </si>
  <si>
    <t>CPARW</t>
  </si>
  <si>
    <t>Catalyst Partners Acquisition Corp. Warrant</t>
  </si>
  <si>
    <t>CPHC</t>
  </si>
  <si>
    <t>Canterbury Park Holding Corporation 'New' Common Stock</t>
  </si>
  <si>
    <t>CPIX</t>
  </si>
  <si>
    <t>Cumberland Pharmaceuticals Inc. Common Stock</t>
  </si>
  <si>
    <t>CPLP</t>
  </si>
  <si>
    <t>Capital Product Partners L.P. Common Units</t>
  </si>
  <si>
    <t>CPOP</t>
  </si>
  <si>
    <t>Pop Culture Group Co. Ltd Class A Ordinary Shares</t>
  </si>
  <si>
    <t>CPRT</t>
  </si>
  <si>
    <t>Copart Inc. (DE) Common Stock</t>
  </si>
  <si>
    <t>CPRX</t>
  </si>
  <si>
    <t>Catalyst Pharmaceuticals Inc. Common Stock</t>
  </si>
  <si>
    <t>CPSH</t>
  </si>
  <si>
    <t>CPS Technologies Corp. Common Stock</t>
  </si>
  <si>
    <t>CPSI</t>
  </si>
  <si>
    <t>Computer Programs and Systems Inc. Common Stock</t>
  </si>
  <si>
    <t>CPSS</t>
  </si>
  <si>
    <t>Consumer Portfolio Services Inc. Common Stock</t>
  </si>
  <si>
    <t>CPTAG</t>
  </si>
  <si>
    <t>Capitala Finance Corp. 5.75% Convertible Notes Due 2022</t>
  </si>
  <si>
    <t>CPTAL</t>
  </si>
  <si>
    <t>Capitala Finance Corp. 6% Notes Due 2022</t>
  </si>
  <si>
    <t>CPZ</t>
  </si>
  <si>
    <t>Calamos Long/Short Equity &amp; Dynamic Income Trust Common Stock</t>
  </si>
  <si>
    <t>CRAI</t>
  </si>
  <si>
    <t>CRA International Inc. Common Stock</t>
  </si>
  <si>
    <t>CRBP</t>
  </si>
  <si>
    <t>Corbus Pharmaceuticals Holdings Inc. Common Stock</t>
  </si>
  <si>
    <t>CRBU</t>
  </si>
  <si>
    <t>Caribou Biosciences Inc. Common Stock</t>
  </si>
  <si>
    <t>CRCT</t>
  </si>
  <si>
    <t>Cricut Inc. Class A Common Stock</t>
  </si>
  <si>
    <t>CRDF</t>
  </si>
  <si>
    <t>Cardiff Oncology Inc. Common Stock</t>
  </si>
  <si>
    <t>CREE</t>
  </si>
  <si>
    <t>Cree Inc. Common Stock</t>
  </si>
  <si>
    <t>CREG</t>
  </si>
  <si>
    <t>China Recycling Energy Corporation Common Stock</t>
  </si>
  <si>
    <t>CRESW</t>
  </si>
  <si>
    <t>Cresud S.A.C.I.F. y A. Warrant</t>
  </si>
  <si>
    <t>CRESY</t>
  </si>
  <si>
    <t>Cresud S.A.C.I.F. y A. American Depositary Shares</t>
  </si>
  <si>
    <t>CREX</t>
  </si>
  <si>
    <t>Creative Realities Inc. Common Stock</t>
  </si>
  <si>
    <t>CREXW</t>
  </si>
  <si>
    <t>Creative Realities Inc. Warrant</t>
  </si>
  <si>
    <t>CRIS</t>
  </si>
  <si>
    <t>Curis Inc. Common Stock</t>
  </si>
  <si>
    <t>CRKN</t>
  </si>
  <si>
    <t>Crown Electrokinetics Corp. Common Stock</t>
  </si>
  <si>
    <t>CRMD</t>
  </si>
  <si>
    <t>CorMedix Inc. Common Stock</t>
  </si>
  <si>
    <t>CRMT</t>
  </si>
  <si>
    <t>America's Car-Mart Inc Common Stock</t>
  </si>
  <si>
    <t>CRNC</t>
  </si>
  <si>
    <t>Cerence Inc. Common Stock</t>
  </si>
  <si>
    <t>CRNT</t>
  </si>
  <si>
    <t>Ceragon Networks Ltd. Ordinary Shares</t>
  </si>
  <si>
    <t>CRNX</t>
  </si>
  <si>
    <t>Crinetics Pharmaceuticals Inc. Common Stock</t>
  </si>
  <si>
    <t>CRON</t>
  </si>
  <si>
    <t>Cronos Group Inc. Common Share</t>
  </si>
  <si>
    <t>CROX</t>
  </si>
  <si>
    <t>Crocs Inc. Common Stock</t>
  </si>
  <si>
    <t>CRSP</t>
  </si>
  <si>
    <t>CRISPR Therapeutics AG Common Shares</t>
  </si>
  <si>
    <t>CRSR</t>
  </si>
  <si>
    <t>Corsair Gaming Inc. Common Stock</t>
  </si>
  <si>
    <t>CRTD</t>
  </si>
  <si>
    <t>Creatd Inc. Common Stock</t>
  </si>
  <si>
    <t>CRTDW</t>
  </si>
  <si>
    <t>Creatd Inc. Warrant</t>
  </si>
  <si>
    <t>CRTO</t>
  </si>
  <si>
    <t>Criteo S.A. American Depositary Shares</t>
  </si>
  <si>
    <t>CRTX</t>
  </si>
  <si>
    <t>Cortexyme Inc. Common Stock</t>
  </si>
  <si>
    <t>CRUS</t>
  </si>
  <si>
    <t>Cirrus Logic Inc. Common Stock</t>
  </si>
  <si>
    <t>CRVL</t>
  </si>
  <si>
    <t>CorVel Corp. Common Stock</t>
  </si>
  <si>
    <t>CRVS</t>
  </si>
  <si>
    <t>Corvus Pharmaceuticals Inc. Common Stock</t>
  </si>
  <si>
    <t>CRWD</t>
  </si>
  <si>
    <t>CrowdStrike Holdings Inc. Class A Common Stock</t>
  </si>
  <si>
    <t>CRWS</t>
  </si>
  <si>
    <t>Crown Crafts Inc Common Stock</t>
  </si>
  <si>
    <t>CRZN</t>
  </si>
  <si>
    <t>Corazon Capital V838 Monoceros Corp Class A Ordinary Shares</t>
  </si>
  <si>
    <t>CRZNU</t>
  </si>
  <si>
    <t>Corazon Capital V838 Monoceros Corp Unit</t>
  </si>
  <si>
    <t>CSBR</t>
  </si>
  <si>
    <t>Champions Oncology Inc. Common Stock</t>
  </si>
  <si>
    <t>CSCO</t>
  </si>
  <si>
    <t>Cisco Systems Inc. Common Stock (DE)</t>
  </si>
  <si>
    <t>CSCW</t>
  </si>
  <si>
    <t>Color Star Technology Co. Ltd. Ordinary Shares</t>
  </si>
  <si>
    <t>CSGP</t>
  </si>
  <si>
    <t>CoStar Group Inc. Common Stock</t>
  </si>
  <si>
    <t>CSGS</t>
  </si>
  <si>
    <t>CSG Systems International Inc. Common Stock</t>
  </si>
  <si>
    <t>CSII</t>
  </si>
  <si>
    <t>Cardiovascular Systems Inc. Common Stock</t>
  </si>
  <si>
    <t>CSIQ</t>
  </si>
  <si>
    <t>Canadian Solar Inc. Common Shares (BC)</t>
  </si>
  <si>
    <t>CSOD</t>
  </si>
  <si>
    <t>Cornerstone OnDemand Inc. Common Stock</t>
  </si>
  <si>
    <t>CSPI</t>
  </si>
  <si>
    <t>CSP Inc. Common Stock</t>
  </si>
  <si>
    <t>CSQ</t>
  </si>
  <si>
    <t>Calamos Strategic Total Return Common Stock</t>
  </si>
  <si>
    <t>CSSE</t>
  </si>
  <si>
    <t>Chicken Soup for the Soul Entertainment Inc. Class A Common Stock</t>
  </si>
  <si>
    <t>CSSEN</t>
  </si>
  <si>
    <t>Chicken Soup for the Soul Entertainment Inc. 9.50% Notes due 2025</t>
  </si>
  <si>
    <t>CSSEP</t>
  </si>
  <si>
    <t>Chicken Soup for the Soul Entertainment Inc. 9.75% Series A Cumulative Redeemable Perpetual Preferred Stock</t>
  </si>
  <si>
    <t>CSTE</t>
  </si>
  <si>
    <t>Caesarstone Ltd. Ordinary Shares</t>
  </si>
  <si>
    <t>CSTL</t>
  </si>
  <si>
    <t>Castle Biosciences Inc. Common Stock</t>
  </si>
  <si>
    <t>CSTR</t>
  </si>
  <si>
    <t>CapStar Financial Holdings Inc. Common Stock</t>
  </si>
  <si>
    <t>CSWC</t>
  </si>
  <si>
    <t>Capital Southwest Corporation Common Stock</t>
  </si>
  <si>
    <t>CSWI</t>
  </si>
  <si>
    <t>CSW Industrials Inc. Common Stock</t>
  </si>
  <si>
    <t>CSX</t>
  </si>
  <si>
    <t>CSX Corporation Common Stock</t>
  </si>
  <si>
    <t>CTAQ</t>
  </si>
  <si>
    <t>Carney Technology Acquisition Corp. II Class A Common Stock</t>
  </si>
  <si>
    <t>CTAQU</t>
  </si>
  <si>
    <t>Carney Technology Acquisition Corp. II Units</t>
  </si>
  <si>
    <t>CTAQW</t>
  </si>
  <si>
    <t>Carney Technology Acquisition Corp. II Warrant</t>
  </si>
  <si>
    <t>CTAS</t>
  </si>
  <si>
    <t>Cintas Corporation Common Stock</t>
  </si>
  <si>
    <t>CTBI</t>
  </si>
  <si>
    <t>Community Trust Bancorp Inc. Common Stock</t>
  </si>
  <si>
    <t>CTG</t>
  </si>
  <si>
    <t>Computer Task Group Inc. Common Stock</t>
  </si>
  <si>
    <t>CTHR</t>
  </si>
  <si>
    <t>Charles &amp; Colvard Ltd Common Stock</t>
  </si>
  <si>
    <t>CTIB</t>
  </si>
  <si>
    <t>Yunhong CTI Ltd. Common Stock</t>
  </si>
  <si>
    <t>CTIC</t>
  </si>
  <si>
    <t>CTI BioPharma Corp. (DE) Common Stock</t>
  </si>
  <si>
    <t>CTKB</t>
  </si>
  <si>
    <t>Cytek Biosciences Inc. Common Stock</t>
  </si>
  <si>
    <t>CTLP</t>
  </si>
  <si>
    <t>Cantaloupe Inc. Common Stock</t>
  </si>
  <si>
    <t>CTMX</t>
  </si>
  <si>
    <t>CytomX Therapeutics Inc. Common Stock</t>
  </si>
  <si>
    <t>CTRE</t>
  </si>
  <si>
    <t>CareTrust REIT Inc. Common Stock</t>
  </si>
  <si>
    <t>CTRM</t>
  </si>
  <si>
    <t>Castor Maritime Inc. Common Shares</t>
  </si>
  <si>
    <t>CTRN</t>
  </si>
  <si>
    <t>Citi Trends Inc. Common Stock</t>
  </si>
  <si>
    <t>CTSH</t>
  </si>
  <si>
    <t>Cognizant Technology Solutions Corporation Class A Common Stock</t>
  </si>
  <si>
    <t>CTSO</t>
  </si>
  <si>
    <t>Cytosorbents Corporation Common Stock</t>
  </si>
  <si>
    <t>CTXR</t>
  </si>
  <si>
    <t>Citius Pharmaceuticals Inc. Common Stock</t>
  </si>
  <si>
    <t>CTXRW</t>
  </si>
  <si>
    <t>Citius Pharmaceuticals Inc. Warrant</t>
  </si>
  <si>
    <t>CTXS</t>
  </si>
  <si>
    <t>Citrix Systems Inc. Common Stock</t>
  </si>
  <si>
    <t>CUBA</t>
  </si>
  <si>
    <t>Herzfeld Caribbean Basin Fund Inc. (The) Common Stock</t>
  </si>
  <si>
    <t>CUE</t>
  </si>
  <si>
    <t>Cue Biopharma Inc. Common Stock</t>
  </si>
  <si>
    <t>CUEN</t>
  </si>
  <si>
    <t>Cuentas Inc. Common Stock</t>
  </si>
  <si>
    <t>CUENW</t>
  </si>
  <si>
    <t>Cuentas Inc. Warrant</t>
  </si>
  <si>
    <t>CULL</t>
  </si>
  <si>
    <t>Cullman Bancorp Inc. Common Stock</t>
  </si>
  <si>
    <t>CURI</t>
  </si>
  <si>
    <t>CuriosityStream Inc. Class A Common Stock</t>
  </si>
  <si>
    <t>CURIW</t>
  </si>
  <si>
    <t>CuriosityStream Inc. Warrant</t>
  </si>
  <si>
    <t>CUTR</t>
  </si>
  <si>
    <t>Cutera Inc. Common Stock</t>
  </si>
  <si>
    <t>CVAC</t>
  </si>
  <si>
    <t>CureVac N.V. Ordinary Shares</t>
  </si>
  <si>
    <t>CVBF</t>
  </si>
  <si>
    <t>CVB Financial Corporation Common Stock</t>
  </si>
  <si>
    <t>CVCO</t>
  </si>
  <si>
    <t>Cavco Industries Inc. Common Stock When Issued</t>
  </si>
  <si>
    <t>CVCY</t>
  </si>
  <si>
    <t>Central Valley Community Bancorp Common Stock</t>
  </si>
  <si>
    <t>CVET</t>
  </si>
  <si>
    <t>Covetrus Inc. Common Stock</t>
  </si>
  <si>
    <t>CVGI</t>
  </si>
  <si>
    <t>Commercial Vehicle Group Inc. Common Stock</t>
  </si>
  <si>
    <t>CVGW</t>
  </si>
  <si>
    <t>Calavo Growers Inc. Common Stock</t>
  </si>
  <si>
    <t>CVLG</t>
  </si>
  <si>
    <t>Covenant Logistics Group Inc. Class A Common Stock</t>
  </si>
  <si>
    <t>CVLT</t>
  </si>
  <si>
    <t>Commvault Systems Inc. Common Stock</t>
  </si>
  <si>
    <t>CVLY</t>
  </si>
  <si>
    <t>Codorus Valley Bancorp Inc Common Stock</t>
  </si>
  <si>
    <t>CVRX</t>
  </si>
  <si>
    <t>CVRx Inc. Common Stock</t>
  </si>
  <si>
    <t>CVV</t>
  </si>
  <si>
    <t>CVD Equipment Corporation Common Stock</t>
  </si>
  <si>
    <t>CWBC</t>
  </si>
  <si>
    <t>Community West Bancshares Common Stock</t>
  </si>
  <si>
    <t>CWBR</t>
  </si>
  <si>
    <t>CohBar Inc. Common Stock</t>
  </si>
  <si>
    <t>CWCO</t>
  </si>
  <si>
    <t>Consolidated Water Co. Ltd. Ordinary Shares</t>
  </si>
  <si>
    <t>CWST</t>
  </si>
  <si>
    <t>Casella Waste Systems Inc. Class A Common Stock</t>
  </si>
  <si>
    <t>CXDC</t>
  </si>
  <si>
    <t>China XD Plastics Company Limited Common Stock</t>
  </si>
  <si>
    <t>CXDO</t>
  </si>
  <si>
    <t>Crexendo Inc. Common Stock</t>
  </si>
  <si>
    <t>CYAD</t>
  </si>
  <si>
    <t>Celyad Oncology SA American Depositary Shares</t>
  </si>
  <si>
    <t>CYAN</t>
  </si>
  <si>
    <t>Cyanotech Corporation Common Stock</t>
  </si>
  <si>
    <t>CYBE</t>
  </si>
  <si>
    <t>CyberOptics Corporation Common Stock</t>
  </si>
  <si>
    <t>CYBR</t>
  </si>
  <si>
    <t>CyberArk Software Ltd. Ordinary Shares</t>
  </si>
  <si>
    <t>CYCC</t>
  </si>
  <si>
    <t>Cyclacel Pharmaceuticals Inc. Common Stock</t>
  </si>
  <si>
    <t>CYCCP</t>
  </si>
  <si>
    <t>Cyclacel Pharmaceuticals Inc. 6% Convertible Preferred Stock</t>
  </si>
  <si>
    <t>CYCN</t>
  </si>
  <si>
    <t>Cyclerion Therapeutics Inc. Common Stock</t>
  </si>
  <si>
    <t>CYRN</t>
  </si>
  <si>
    <t>CYREN Ltd. Ordinary Shares</t>
  </si>
  <si>
    <t>CYRX</t>
  </si>
  <si>
    <t>CryoPort Inc. Common Stock</t>
  </si>
  <si>
    <t>CYT</t>
  </si>
  <si>
    <t>Cyteir Therapeutics Inc. Common Stock</t>
  </si>
  <si>
    <t>CYTH</t>
  </si>
  <si>
    <t>Cyclo Therapeutics Inc. Common Stock</t>
  </si>
  <si>
    <t>CYTHW</t>
  </si>
  <si>
    <t>Cyclo Therapeutics Inc. Warrant</t>
  </si>
  <si>
    <t>CYTK</t>
  </si>
  <si>
    <t>Cytokinetics Incorporated Common Stock</t>
  </si>
  <si>
    <t>CYTO</t>
  </si>
  <si>
    <t>Altamira Therapeutics Ltd. Common Shares 0.01 SF (Bermuda)</t>
  </si>
  <si>
    <t>CYXT</t>
  </si>
  <si>
    <t>Cyxtera Technologies Inc. Class A Common Stock</t>
  </si>
  <si>
    <t>CYXTW</t>
  </si>
  <si>
    <t>Cyxtera Technologies Inc. Warrant</t>
  </si>
  <si>
    <t>CZNC</t>
  </si>
  <si>
    <t>Citizens &amp; Northern Corp Common Stock</t>
  </si>
  <si>
    <t>CZR</t>
  </si>
  <si>
    <t>Caesars Entertainment Inc. Common Stock</t>
  </si>
  <si>
    <t>CZWI</t>
  </si>
  <si>
    <t>Citizens Community Bancorp Inc. Common Stock</t>
  </si>
  <si>
    <t>DADA</t>
  </si>
  <si>
    <t>Dada Nexus Limited American Depositary Shares</t>
  </si>
  <si>
    <t>DAIO</t>
  </si>
  <si>
    <t>Data I/O Corporation Common Stock</t>
  </si>
  <si>
    <t>DAKT</t>
  </si>
  <si>
    <t>Daktronics Inc. Common Stock</t>
  </si>
  <si>
    <t>DALN</t>
  </si>
  <si>
    <t>DallasNews Corporation Series A Common Stock</t>
  </si>
  <si>
    <t>DALS</t>
  </si>
  <si>
    <t>DA32 Life Science Tech Acquisition Corp. Class A Common Stock</t>
  </si>
  <si>
    <t>DARE</t>
  </si>
  <si>
    <t>Dare Bioscience Inc. Common Stock</t>
  </si>
  <si>
    <t>DAWN</t>
  </si>
  <si>
    <t>Day One Biopharmaceuticals Inc. Common Stock</t>
  </si>
  <si>
    <t>DBDR</t>
  </si>
  <si>
    <t>Roman DBDR Tech Acquisition Corp. Class A Common Stock</t>
  </si>
  <si>
    <t>DBDRW</t>
  </si>
  <si>
    <t>Roman DBDR Tech Acquisition Corp. Warrant</t>
  </si>
  <si>
    <t>DBGI</t>
  </si>
  <si>
    <t>Digital Brands Group Inc. Common Stock</t>
  </si>
  <si>
    <t>DBGIW</t>
  </si>
  <si>
    <t>Digital Brands Group Inc. Warrant</t>
  </si>
  <si>
    <t>DBTX</t>
  </si>
  <si>
    <t>Decibel Therapeutics Inc. Common Stock</t>
  </si>
  <si>
    <t>DBVT</t>
  </si>
  <si>
    <t>DBV Technologies S.A. American Depositary Shares</t>
  </si>
  <si>
    <t>DBX</t>
  </si>
  <si>
    <t>Dropbox Inc. Class A Common Stock</t>
  </si>
  <si>
    <t>DCBO</t>
  </si>
  <si>
    <t>Docebo Inc. Common Shares</t>
  </si>
  <si>
    <t>DCOM</t>
  </si>
  <si>
    <t>Dime Community Bancshares Inc. Common Stock</t>
  </si>
  <si>
    <t>DCOMP</t>
  </si>
  <si>
    <t>Dime Community Bancshares Inc. Fixed-Rate Non-Cumulative Perpetual Preferred Stock Series A</t>
  </si>
  <si>
    <t>DCPH</t>
  </si>
  <si>
    <t>Deciphera Pharmaceuticals Inc. Common Stock</t>
  </si>
  <si>
    <t>DCRC</t>
  </si>
  <si>
    <t>Decarbonization Plus Acquisition Corporation III Class A Common Stock</t>
  </si>
  <si>
    <t>DCRCU</t>
  </si>
  <si>
    <t>Decarbonization Plus Acquisition Corporation III Unit</t>
  </si>
  <si>
    <t>DCRCW</t>
  </si>
  <si>
    <t>Decarbonization Plus Acquisition Corporation III Warrant</t>
  </si>
  <si>
    <t>DCRN</t>
  </si>
  <si>
    <t>Decarbonization Plus Acquisition Corporation II Class A Common stock</t>
  </si>
  <si>
    <t>DCRNU</t>
  </si>
  <si>
    <t>Decarbonization Plus Acquisition Corporation II Unit</t>
  </si>
  <si>
    <t>DCRNW</t>
  </si>
  <si>
    <t>Decarbonization Plus Acquisition Corporation II Warrant</t>
  </si>
  <si>
    <t>DCT</t>
  </si>
  <si>
    <t>Duck Creek Technologies Inc. Common Stock</t>
  </si>
  <si>
    <t>DCTH</t>
  </si>
  <si>
    <t>Delcath Systems Inc. Common Stock</t>
  </si>
  <si>
    <t>DDMX</t>
  </si>
  <si>
    <t>DD3 Acquisition Corp. II Class A Common Stock</t>
  </si>
  <si>
    <t>DDMXW</t>
  </si>
  <si>
    <t>DD3 Acquisition Corp. II Warrant</t>
  </si>
  <si>
    <t>DDOG</t>
  </si>
  <si>
    <t>Datadog Inc. Class A Common Stock</t>
  </si>
  <si>
    <t>DENN</t>
  </si>
  <si>
    <t>Denny's Corporation Common Stock</t>
  </si>
  <si>
    <t>DFFN</t>
  </si>
  <si>
    <t>Diffusion Pharmaceuticals Inc. Common Stock</t>
  </si>
  <si>
    <t>DFH</t>
  </si>
  <si>
    <t>Dream Finders Homes Inc. Class A Common Stock</t>
  </si>
  <si>
    <t>DFPH</t>
  </si>
  <si>
    <t>DFP Healthcare Acquisitions Corp. Class A Common Stock</t>
  </si>
  <si>
    <t>DFPHW</t>
  </si>
  <si>
    <t>DFP Healthcare Acquisitions Corp. Warrant</t>
  </si>
  <si>
    <t>DGICA</t>
  </si>
  <si>
    <t>Donegal Group Inc. Class A Common Stock</t>
  </si>
  <si>
    <t>DGICB</t>
  </si>
  <si>
    <t>Donegal Group Inc. Class B Common Stock</t>
  </si>
  <si>
    <t>DGII</t>
  </si>
  <si>
    <t>Digi International Inc. Common Stock</t>
  </si>
  <si>
    <t>DGLY</t>
  </si>
  <si>
    <t>Digital Ally Inc. Common Stock</t>
  </si>
  <si>
    <t>DGNS</t>
  </si>
  <si>
    <t>Dragoneer Growth Opportunities Corp. II Class A Ordinary Shares</t>
  </si>
  <si>
    <t>DGNU</t>
  </si>
  <si>
    <t>Dragoneer Growth Opportunities Corp. III Class A Ordinary Shares</t>
  </si>
  <si>
    <t>DHBC</t>
  </si>
  <si>
    <t>DHB Capital Corp. Class A common stock</t>
  </si>
  <si>
    <t>DHBCU</t>
  </si>
  <si>
    <t>DHB Capital Corp. Unit</t>
  </si>
  <si>
    <t>DHBCW</t>
  </si>
  <si>
    <t>DHB Capital Corp. Warrant</t>
  </si>
  <si>
    <t>DHC</t>
  </si>
  <si>
    <t>Diversified Healthcare Trust Common Shares of Beneficial Interest</t>
  </si>
  <si>
    <t>DHCA</t>
  </si>
  <si>
    <t>DHC Acquisition Corp. Class A ordinary share</t>
  </si>
  <si>
    <t>DHCAU</t>
  </si>
  <si>
    <t>DHC Acquisition Corp. Unit</t>
  </si>
  <si>
    <t>DHCAW</t>
  </si>
  <si>
    <t>DHC Acquisition Corp. Warrant</t>
  </si>
  <si>
    <t>DHCNI</t>
  </si>
  <si>
    <t>Diversified Healthcare Trust 5.625% Senior Notes due 2042</t>
  </si>
  <si>
    <t>DHCNL</t>
  </si>
  <si>
    <t>Diversified Healthcare Trust 6.25% Senior Notes Due 2046</t>
  </si>
  <si>
    <t>DHHC</t>
  </si>
  <si>
    <t>DiamondHead Holdings Corp. Class A Common Stock</t>
  </si>
  <si>
    <t>DHHCU</t>
  </si>
  <si>
    <t>DiamondHead Holdings Corp. Unit</t>
  </si>
  <si>
    <t>DHHCW</t>
  </si>
  <si>
    <t>DiamondHead Holdings Corp. Warrant</t>
  </si>
  <si>
    <t>DHIL</t>
  </si>
  <si>
    <t>Diamond Hill Investment Group Inc. Class A Common Stock</t>
  </si>
  <si>
    <t>DIBS</t>
  </si>
  <si>
    <t>1stdibs.com Inc. Common Stock</t>
  </si>
  <si>
    <t>DILA</t>
  </si>
  <si>
    <t>DILA Capital Acquisition Corp. Class A Common Stock</t>
  </si>
  <si>
    <t>DILAU</t>
  </si>
  <si>
    <t>DILA Capital Acquisition Corp. Unit</t>
  </si>
  <si>
    <t>DILAW</t>
  </si>
  <si>
    <t>DILA Capital Acquisition Corp. Warrant</t>
  </si>
  <si>
    <t>DIOD</t>
  </si>
  <si>
    <t>Diodes Incorporated Common Stock</t>
  </si>
  <si>
    <t>DISAU</t>
  </si>
  <si>
    <t>Disruptive Acquisition Corporation I Unit</t>
  </si>
  <si>
    <t>DISAW</t>
  </si>
  <si>
    <t>Disruptive Acquisition Corporation I Warrant</t>
  </si>
  <si>
    <t>DISCA</t>
  </si>
  <si>
    <t>Discovery Inc. Series A Common Stock</t>
  </si>
  <si>
    <t>DISCB</t>
  </si>
  <si>
    <t>Discovery Inc. Series B Common Stock</t>
  </si>
  <si>
    <t>DISCK</t>
  </si>
  <si>
    <t>Discovery Inc. Series C Common Stock</t>
  </si>
  <si>
    <t>DISH</t>
  </si>
  <si>
    <t>DISH Network Corporation Class A Common Stock</t>
  </si>
  <si>
    <t>DJCO</t>
  </si>
  <si>
    <t>Daily Journal Corp. (S.C.) Common Stock</t>
  </si>
  <si>
    <t>DKDCA</t>
  </si>
  <si>
    <t>Data Knights Acquisition Corp. Class A Common Stock</t>
  </si>
  <si>
    <t>DKDCW</t>
  </si>
  <si>
    <t>Data Knights Acquisition Corp. Warrant</t>
  </si>
  <si>
    <t>DKNG</t>
  </si>
  <si>
    <t>DraftKings Inc. Class A Common Stock</t>
  </si>
  <si>
    <t>DLCA</t>
  </si>
  <si>
    <t>Deep Lake Capital Acquisition Corp. Class A Ordinary Shares</t>
  </si>
  <si>
    <t>DLCAU</t>
  </si>
  <si>
    <t>Deep Lake Capital Acquisition Corp. Unit</t>
  </si>
  <si>
    <t>DLCAW</t>
  </si>
  <si>
    <t>Deep Lake Capital Acquisition Corp. Warrant</t>
  </si>
  <si>
    <t>DLHC</t>
  </si>
  <si>
    <t>DLH Holdings Corp.</t>
  </si>
  <si>
    <t>DLO</t>
  </si>
  <si>
    <t>DLocal Limited Class A Common Shares</t>
  </si>
  <si>
    <t>DLPN</t>
  </si>
  <si>
    <t>Dolphin Entertainment Inc. Common Stock</t>
  </si>
  <si>
    <t>DLTH</t>
  </si>
  <si>
    <t>Duluth Holdings Inc. Class B Common Stock</t>
  </si>
  <si>
    <t>DLTR</t>
  </si>
  <si>
    <t>Dollar Tree Inc. Common Stock</t>
  </si>
  <si>
    <t>DMAC</t>
  </si>
  <si>
    <t>DiaMedica Therapeutics Inc. Common Stock</t>
  </si>
  <si>
    <t>DMLP</t>
  </si>
  <si>
    <t>Dorchester Minerals L.P. Common Units Representing Limited Partnership Interests</t>
  </si>
  <si>
    <t>DMRC</t>
  </si>
  <si>
    <t>Digimarc Corporation Common Stock</t>
  </si>
  <si>
    <t>DMTK</t>
  </si>
  <si>
    <t>DermTech Inc. Common Stock</t>
  </si>
  <si>
    <t>DNAA</t>
  </si>
  <si>
    <t>Social Capital Suvretta Holdings Corp. I Class A Ordinary Share</t>
  </si>
  <si>
    <t>DNAB</t>
  </si>
  <si>
    <t>Social Capital Suvretta Holdings Corp. II Class A Ordinary Shares</t>
  </si>
  <si>
    <t>DNAC</t>
  </si>
  <si>
    <t>Social Capital Suvretta Holdings Corp. III Class A ordinary shares</t>
  </si>
  <si>
    <t>DNAD</t>
  </si>
  <si>
    <t>Social Capital Suvretta Holdings Corp. IV Class A Ordinary Shares</t>
  </si>
  <si>
    <t>DNAY</t>
  </si>
  <si>
    <t>Codex DNA Inc. Common Stock</t>
  </si>
  <si>
    <t>DNLI</t>
  </si>
  <si>
    <t>Denali Therapeutics Inc. Common Stock</t>
  </si>
  <si>
    <t>DNUT</t>
  </si>
  <si>
    <t>Krispy Kreme Inc. Common Stock</t>
  </si>
  <si>
    <t>DOCU</t>
  </si>
  <si>
    <t>DocuSign Inc. Common Stock</t>
  </si>
  <si>
    <t>DOGZ</t>
  </si>
  <si>
    <t>Dogness (International) Corporation Class A Common Stock</t>
  </si>
  <si>
    <t>DOMO</t>
  </si>
  <si>
    <t>Domo Inc. Class B Common Stock</t>
  </si>
  <si>
    <t>DOOO</t>
  </si>
  <si>
    <t>BRP Inc. (Recreational Products) Common Subordinate Voting Shares</t>
  </si>
  <si>
    <t>DORM</t>
  </si>
  <si>
    <t>Dorman Products Inc. Common Stock</t>
  </si>
  <si>
    <t>DOX</t>
  </si>
  <si>
    <t>Amdocs Limited Ordinary Shares</t>
  </si>
  <si>
    <t>DOYU</t>
  </si>
  <si>
    <t>DouYu International Holdings Limited ADS</t>
  </si>
  <si>
    <t>DPRO</t>
  </si>
  <si>
    <t>Draganfly Inc. Common Shares</t>
  </si>
  <si>
    <t>DRAYU</t>
  </si>
  <si>
    <t>Macondray Capital Acquisition Corp. I Unit</t>
  </si>
  <si>
    <t>DRIO</t>
  </si>
  <si>
    <t>DarioHealth Corp. Common Stock</t>
  </si>
  <si>
    <t>DRNA</t>
  </si>
  <si>
    <t>Dicerna Pharmaceuticals Inc. Common Stock</t>
  </si>
  <si>
    <t>DRRX</t>
  </si>
  <si>
    <t>DURECT Corporation Common Stock</t>
  </si>
  <si>
    <t>DRTT</t>
  </si>
  <si>
    <t>DIRTT Environmental Solutions Ltd. Common Shares</t>
  </si>
  <si>
    <t>DRVN</t>
  </si>
  <si>
    <t>Driven Brands Holdings Inc. Common Stock</t>
  </si>
  <si>
    <t>DSAC</t>
  </si>
  <si>
    <t>Duddell Street Acquisition Corp. Class A Ordinary Shares</t>
  </si>
  <si>
    <t>DSACU</t>
  </si>
  <si>
    <t>Duddell Street Acquisition Corp. Unit</t>
  </si>
  <si>
    <t>DSACW</t>
  </si>
  <si>
    <t>Duddell Street Acquisition Corp. Warrant</t>
  </si>
  <si>
    <t>DSEY</t>
  </si>
  <si>
    <t>Diversey Holdings Ltd. Ordinary Shares</t>
  </si>
  <si>
    <t>DSGN</t>
  </si>
  <si>
    <t>Design Therapeutics Inc. Common Stock</t>
  </si>
  <si>
    <t>DSGX</t>
  </si>
  <si>
    <t>Descartes Systems Group Inc. (The) Common Stock</t>
  </si>
  <si>
    <t>DSKE</t>
  </si>
  <si>
    <t>Daseke Inc. Common Stock</t>
  </si>
  <si>
    <t>DSKEW</t>
  </si>
  <si>
    <t>Daseke Inc. Warrant</t>
  </si>
  <si>
    <t>DSP</t>
  </si>
  <si>
    <t>Viant Technology Inc. Class A Common Stock</t>
  </si>
  <si>
    <t>DSPG</t>
  </si>
  <si>
    <t>DSP Group Inc. Common Stock</t>
  </si>
  <si>
    <t>DSWL</t>
  </si>
  <si>
    <t>Deswell Industries Inc. Common Shares</t>
  </si>
  <si>
    <t>DTEA</t>
  </si>
  <si>
    <t>DAVIDsTEA Inc. Common Stock</t>
  </si>
  <si>
    <t>DTIL</t>
  </si>
  <si>
    <t>Precision BioSciences Inc. Common Stock</t>
  </si>
  <si>
    <t>DTOC</t>
  </si>
  <si>
    <t>Digital Transformation Opportunities Corp. Class A Common Stock</t>
  </si>
  <si>
    <t>DTOCW</t>
  </si>
  <si>
    <t>Digital Transformation Opportunities Corp. Warrant</t>
  </si>
  <si>
    <t>DTSS</t>
  </si>
  <si>
    <t>Datasea Inc. Common Stock</t>
  </si>
  <si>
    <t>DTST</t>
  </si>
  <si>
    <t>Data Storage Corporation Common Stock</t>
  </si>
  <si>
    <t>DTSTW</t>
  </si>
  <si>
    <t>Data Storage Corporation Warrant</t>
  </si>
  <si>
    <t>DUNE</t>
  </si>
  <si>
    <t>Dune Acquisition Corporation Class A Common Stock</t>
  </si>
  <si>
    <t>DUNEU</t>
  </si>
  <si>
    <t>Dune Acquisition Corporation Unit</t>
  </si>
  <si>
    <t>DUNEW</t>
  </si>
  <si>
    <t>Dune Acquisition Corporation Warrant</t>
  </si>
  <si>
    <t>DUO</t>
  </si>
  <si>
    <t>Fangdd Network Group Ltd. American Depositary Shares</t>
  </si>
  <si>
    <t>DUOL</t>
  </si>
  <si>
    <t>Duolingo Inc. Class A Common Stock</t>
  </si>
  <si>
    <t>DUOT</t>
  </si>
  <si>
    <t>Duos Technologies Group Inc. Common Stock</t>
  </si>
  <si>
    <t>DVAX</t>
  </si>
  <si>
    <t>Dynavax Technologies Corporation Common Stock</t>
  </si>
  <si>
    <t>DWSN</t>
  </si>
  <si>
    <t>Dawson Geophysical Company Common Stock</t>
  </si>
  <si>
    <t>DXCM</t>
  </si>
  <si>
    <t>DexCom Inc. Common Stock</t>
  </si>
  <si>
    <t>DXPE</t>
  </si>
  <si>
    <t>DXP Enterprises Inc. Common Stock</t>
  </si>
  <si>
    <t>DXYN</t>
  </si>
  <si>
    <t>Dixie Group Inc. (The) Common Stock</t>
  </si>
  <si>
    <t>DYAI</t>
  </si>
  <si>
    <t>Dyadic International Inc. Common Stock</t>
  </si>
  <si>
    <t>DYN</t>
  </si>
  <si>
    <t>Dyne Therapeutics Inc. Common Stock</t>
  </si>
  <si>
    <t>DYNS</t>
  </si>
  <si>
    <t>Dynamics Special Purpose Corp. Class A Common Stock</t>
  </si>
  <si>
    <t>DYNT</t>
  </si>
  <si>
    <t>Dynatronics Corporation Common Stock</t>
  </si>
  <si>
    <t>DZSI</t>
  </si>
  <si>
    <t>DZS Inc. Common Stock</t>
  </si>
  <si>
    <t>EA</t>
  </si>
  <si>
    <t>Electronic Arts Inc. Common Stock</t>
  </si>
  <si>
    <t>EAC</t>
  </si>
  <si>
    <t>Edify Acquisition Corp. Class A Common Stock</t>
  </si>
  <si>
    <t>EACPU</t>
  </si>
  <si>
    <t>Edify Acquisition Corp. Units</t>
  </si>
  <si>
    <t>EAR</t>
  </si>
  <si>
    <t>Eargo Inc. Common Stock</t>
  </si>
  <si>
    <t>EAST</t>
  </si>
  <si>
    <t>Eastside Distilling Inc. Common Stock</t>
  </si>
  <si>
    <t>EBAC</t>
  </si>
  <si>
    <t>European Biotech Acquisition Corp. Class A Ordinary Shares</t>
  </si>
  <si>
    <t>EBACU</t>
  </si>
  <si>
    <t>European Biotech Acquisition Corp. Units</t>
  </si>
  <si>
    <t>EBACW</t>
  </si>
  <si>
    <t>European Biotech Acquisition Corp. Warrant</t>
  </si>
  <si>
    <t>EBAY</t>
  </si>
  <si>
    <t>eBay Inc. Common Stock</t>
  </si>
  <si>
    <t>EBC</t>
  </si>
  <si>
    <t>Eastern Bankshares Inc. Common Stock</t>
  </si>
  <si>
    <t>EBET</t>
  </si>
  <si>
    <t>Esports Technologies Inc. Common Stock</t>
  </si>
  <si>
    <t>EBIX</t>
  </si>
  <si>
    <t>Ebix Inc. Common Stock</t>
  </si>
  <si>
    <t>EBMT</t>
  </si>
  <si>
    <t>Eagle Bancorp Montana Inc. Common Stock</t>
  </si>
  <si>
    <t>EBON</t>
  </si>
  <si>
    <t>Ebang International Holdings Inc. Class A Ordinary Shares</t>
  </si>
  <si>
    <t>EBSB</t>
  </si>
  <si>
    <t>Meridian Bancorp Inc. Common Stock</t>
  </si>
  <si>
    <t>EBTC</t>
  </si>
  <si>
    <t>Enterprise Bancorp Inc Common Stock</t>
  </si>
  <si>
    <t>ECHO</t>
  </si>
  <si>
    <t>Echo Global Logistics Inc. Common Stock</t>
  </si>
  <si>
    <t>ECOL</t>
  </si>
  <si>
    <t>US Ecology Inc Common Stock</t>
  </si>
  <si>
    <t>ECOR</t>
  </si>
  <si>
    <t>electroCore Inc. Common Stock</t>
  </si>
  <si>
    <t>ECPG</t>
  </si>
  <si>
    <t>Encore Capital Group Inc Common Stock</t>
  </si>
  <si>
    <t>EDAP</t>
  </si>
  <si>
    <t>EDAP TMS S.A. American Depositary Shares</t>
  </si>
  <si>
    <t>EDIT</t>
  </si>
  <si>
    <t>Editas Medicine Inc. Common Stock</t>
  </si>
  <si>
    <t>EDRY</t>
  </si>
  <si>
    <t>EuroDry Ltd. Common Shares</t>
  </si>
  <si>
    <t>EDSA</t>
  </si>
  <si>
    <t>Edesa Biotech Inc. Common Shares</t>
  </si>
  <si>
    <t>EDTK</t>
  </si>
  <si>
    <t>Skillful Craftsman Education Technology Limited Ordinary Share</t>
  </si>
  <si>
    <t>EDTX</t>
  </si>
  <si>
    <t>EdtechX Holdings Acquisition Corp. II Class A common stock</t>
  </si>
  <si>
    <t>EDTXW</t>
  </si>
  <si>
    <t>EdtechX Holdings Acquisition Corp. II Warrant</t>
  </si>
  <si>
    <t>EDUC</t>
  </si>
  <si>
    <t>Educational Development Corporation Common Stock</t>
  </si>
  <si>
    <t>EEFT</t>
  </si>
  <si>
    <t>Euronet Worldwide Inc. Common Stock</t>
  </si>
  <si>
    <t>EEIQ</t>
  </si>
  <si>
    <t>Elite Education Group International Ltd. Common Stock</t>
  </si>
  <si>
    <t>EFOI</t>
  </si>
  <si>
    <t>Energy Focus Inc. Common Stock</t>
  </si>
  <si>
    <t>EFSC</t>
  </si>
  <si>
    <t>Enterprise Financial Services Corporation Common Stock</t>
  </si>
  <si>
    <t>EGAN</t>
  </si>
  <si>
    <t>eGain Corporation Common Stock</t>
  </si>
  <si>
    <t>EGBN</t>
  </si>
  <si>
    <t>Eagle Bancorp Inc. Common Stock</t>
  </si>
  <si>
    <t>EGLE</t>
  </si>
  <si>
    <t>Eagle Bulk Shipping Inc. Common Stock</t>
  </si>
  <si>
    <t>EGLX</t>
  </si>
  <si>
    <t>Enthusiast Gaming Holdings Inc. Common Stock</t>
  </si>
  <si>
    <t>EGRX</t>
  </si>
  <si>
    <t>Eagle Pharmaceuticals Inc. Common Stock</t>
  </si>
  <si>
    <t>EH</t>
  </si>
  <si>
    <t>EHang Holdings Limited ADS</t>
  </si>
  <si>
    <t>EHTH</t>
  </si>
  <si>
    <t>eHealth Inc. Common Stock</t>
  </si>
  <si>
    <t>EIGR</t>
  </si>
  <si>
    <t>Eiger BioPharmaceuticals Inc. Common Stock</t>
  </si>
  <si>
    <t>EJFA</t>
  </si>
  <si>
    <t>EJF Acquisition Corp. Class A Ordinary Share</t>
  </si>
  <si>
    <t>EJFAU</t>
  </si>
  <si>
    <t>EJF Acquisition Corp. Unit</t>
  </si>
  <si>
    <t>EJFAW</t>
  </si>
  <si>
    <t>EJF Acquisition Corp. Warrant</t>
  </si>
  <si>
    <t>EJH</t>
  </si>
  <si>
    <t>E-Home Household Service Holdings Limited Ordinary Shares</t>
  </si>
  <si>
    <t>EKSO</t>
  </si>
  <si>
    <t>Ekso Bionics Holdings Inc. Common Stock</t>
  </si>
  <si>
    <t>ELDN</t>
  </si>
  <si>
    <t>Eledon Pharmaceuticals Inc. Common Stock</t>
  </si>
  <si>
    <t>ELEV</t>
  </si>
  <si>
    <t>Elevation Oncology Inc. Common stock</t>
  </si>
  <si>
    <t>ELMS</t>
  </si>
  <si>
    <t>Electric Last Mile Solutions Inc. Class A Common stock</t>
  </si>
  <si>
    <t>ELMSW</t>
  </si>
  <si>
    <t>Electric Last Mile Solutions Inc. Warrant</t>
  </si>
  <si>
    <t>ELOX</t>
  </si>
  <si>
    <t>Eloxx Pharmaceuticals Inc. Common Stock</t>
  </si>
  <si>
    <t>ELSE</t>
  </si>
  <si>
    <t>Electro-Sensors Inc. Common Stock</t>
  </si>
  <si>
    <t>ELTK</t>
  </si>
  <si>
    <t>Eltek Ltd. Ordinary Shares</t>
  </si>
  <si>
    <t>ELYS</t>
  </si>
  <si>
    <t>Elys Game Technology Corp. Common Stock</t>
  </si>
  <si>
    <t>EM</t>
  </si>
  <si>
    <t>Smart Share Global Limited American Depositary Shares</t>
  </si>
  <si>
    <t>EMCF</t>
  </si>
  <si>
    <t>Emclaire Financial Corp Common Stock</t>
  </si>
  <si>
    <t>EMKR</t>
  </si>
  <si>
    <t>EMCORE Corporation Common Stock</t>
  </si>
  <si>
    <t>EML</t>
  </si>
  <si>
    <t>Eastern Company (The) Common Stock</t>
  </si>
  <si>
    <t>ENDP</t>
  </si>
  <si>
    <t>Endo International plc Ordinary Shares</t>
  </si>
  <si>
    <t>ENFA</t>
  </si>
  <si>
    <t>890 5th Avenue Partners Inc. Class A Common Stock</t>
  </si>
  <si>
    <t>ENFAU</t>
  </si>
  <si>
    <t>890 5th Avenue Partners Inc. Unit</t>
  </si>
  <si>
    <t>ENFAW</t>
  </si>
  <si>
    <t>890 5th Avenue Partners Inc. Warrant</t>
  </si>
  <si>
    <t>ENG</t>
  </si>
  <si>
    <t>ENGlobal Corporation Common Stock</t>
  </si>
  <si>
    <t>ENLV</t>
  </si>
  <si>
    <t>Enlivex Therapeutics Ltd. Ordinary Shares</t>
  </si>
  <si>
    <t>ENNV</t>
  </si>
  <si>
    <t>ECP Environmental Growth Opportunities Corp. Class A Common Stock</t>
  </si>
  <si>
    <t>ENNVU</t>
  </si>
  <si>
    <t>ECP Environmental Growth Opportunities Corp. Unit</t>
  </si>
  <si>
    <t>ENNVW</t>
  </si>
  <si>
    <t>ECP Environmental Growth Opportunities Corp. Warrants</t>
  </si>
  <si>
    <t>ENOB</t>
  </si>
  <si>
    <t>Enochian Biosciences Inc. Common Stock</t>
  </si>
  <si>
    <t>ENPH</t>
  </si>
  <si>
    <t>Enphase Energy Inc. Common Stock</t>
  </si>
  <si>
    <t>ENSC</t>
  </si>
  <si>
    <t>Ensysce Biosciences Inc. Common Stock</t>
  </si>
  <si>
    <t>ENSG</t>
  </si>
  <si>
    <t>The Ensign Group Inc. Common Stock</t>
  </si>
  <si>
    <t>ENTA</t>
  </si>
  <si>
    <t>Enanta Pharmaceuticals Inc. Common Stock</t>
  </si>
  <si>
    <t>ENTG</t>
  </si>
  <si>
    <t>Entegris Inc. Common Stock</t>
  </si>
  <si>
    <t>ENTX</t>
  </si>
  <si>
    <t>Entera Bio Ltd. Ordinary Shares</t>
  </si>
  <si>
    <t>ENTXW</t>
  </si>
  <si>
    <t>Entera Bio Ltd. Warrant</t>
  </si>
  <si>
    <t>ENVB</t>
  </si>
  <si>
    <t>Enveric Biosciences Inc. Common Stock</t>
  </si>
  <si>
    <t>ENVI</t>
  </si>
  <si>
    <t>Environmental Impact Acquisition Corp. Class A Common Stock</t>
  </si>
  <si>
    <t>ENVIU</t>
  </si>
  <si>
    <t>Environmental Impact Acquisition Corp. Unit</t>
  </si>
  <si>
    <t>ENVIW</t>
  </si>
  <si>
    <t>Environmental Impact Acquisition Corp. Warrant</t>
  </si>
  <si>
    <t>ENVX</t>
  </si>
  <si>
    <t>Enovix Corporation Common Stock</t>
  </si>
  <si>
    <t>ENVXW</t>
  </si>
  <si>
    <t>Enovix Corporation Warrant</t>
  </si>
  <si>
    <t>EOLS</t>
  </si>
  <si>
    <t>Evolus Inc. Common Stock</t>
  </si>
  <si>
    <t>EOSE</t>
  </si>
  <si>
    <t>Eos Energy Enterprises Inc. Class A Common Stock</t>
  </si>
  <si>
    <t>EOSEW</t>
  </si>
  <si>
    <t>Eos Energy Enterprises Inc. Warrant</t>
  </si>
  <si>
    <t>EPAY</t>
  </si>
  <si>
    <t>Bottomline Technologies Inc. Common Stock</t>
  </si>
  <si>
    <t>EPHY</t>
  </si>
  <si>
    <t>Epiphany Technology Acquisition Corp. Class A Common Stock</t>
  </si>
  <si>
    <t>EPHYU</t>
  </si>
  <si>
    <t>Epiphany Technology Acquisition Corp. Unit</t>
  </si>
  <si>
    <t>EPHYW</t>
  </si>
  <si>
    <t>Epiphany Technology Acquisition Corp. Warrant</t>
  </si>
  <si>
    <t>EPIX</t>
  </si>
  <si>
    <t>ESSA Pharma Inc. Common Stock</t>
  </si>
  <si>
    <t>EPSN</t>
  </si>
  <si>
    <t>Epsilon Energy Ltd. Common Share</t>
  </si>
  <si>
    <t>EPZM</t>
  </si>
  <si>
    <t>Epizyme Inc. Common Stock</t>
  </si>
  <si>
    <t>EQ</t>
  </si>
  <si>
    <t>Equillium Inc. Common Stock</t>
  </si>
  <si>
    <t>EQBK</t>
  </si>
  <si>
    <t>Equity Bancshares Inc. Class A Common Stock</t>
  </si>
  <si>
    <t>EQIX</t>
  </si>
  <si>
    <t>Equinix Inc. Common Stock REIT</t>
  </si>
  <si>
    <t>EQOS</t>
  </si>
  <si>
    <t>Diginex Limited Ordinary Shares</t>
  </si>
  <si>
    <t>ERAS</t>
  </si>
  <si>
    <t>Erasca Inc. Common Stock</t>
  </si>
  <si>
    <t>ERES</t>
  </si>
  <si>
    <t>East Resources Acquisition Company Class A Common Stock</t>
  </si>
  <si>
    <t>ERESU</t>
  </si>
  <si>
    <t>East Resources Acquisition Company Unit</t>
  </si>
  <si>
    <t>ERESW</t>
  </si>
  <si>
    <t>East Resources Acquisition Company Warrant</t>
  </si>
  <si>
    <t>ERIC</t>
  </si>
  <si>
    <t>Ericsson American Depositary Shares</t>
  </si>
  <si>
    <t>ERIE</t>
  </si>
  <si>
    <t>Erie Indemnity Company Class A Common Stock</t>
  </si>
  <si>
    <t>ERII</t>
  </si>
  <si>
    <t>Energy Recovery Inc. Common Stock</t>
  </si>
  <si>
    <t>ERYP</t>
  </si>
  <si>
    <t>Erytech Pharma S.A. American Depositary Shares</t>
  </si>
  <si>
    <t>ESBK</t>
  </si>
  <si>
    <t>Elmira Savings Bank Elmira NY Common Stock</t>
  </si>
  <si>
    <t>ESCA</t>
  </si>
  <si>
    <t>Escalade Incorporated Common Stock</t>
  </si>
  <si>
    <t>ESEA</t>
  </si>
  <si>
    <t>Euroseas Ltd. Common Stock (Marshall Islands)</t>
  </si>
  <si>
    <t>ESGR</t>
  </si>
  <si>
    <t>Enstar Group Limited Ordinary Shares</t>
  </si>
  <si>
    <t>ESGRO</t>
  </si>
  <si>
    <t>Enstar Group Limited Depository Shares 7.00% Perpetual Non-Cumulative Preference Shares Series E</t>
  </si>
  <si>
    <t>ESGRP</t>
  </si>
  <si>
    <t>Enstar Group Limited Depositary Shares Each Representing 1/1000th of an interest in Preference Shares</t>
  </si>
  <si>
    <t>ESLT</t>
  </si>
  <si>
    <t>Elbit Systems Ltd. Ordinary Shares</t>
  </si>
  <si>
    <t>ESPR</t>
  </si>
  <si>
    <t>Esperion Therapeutics Inc. Common Stock</t>
  </si>
  <si>
    <t>ESQ</t>
  </si>
  <si>
    <t>Esquire Financial Holdings Inc. Common Stock</t>
  </si>
  <si>
    <t>ESSA</t>
  </si>
  <si>
    <t>ESSA Bancorp Inc. Common Stock</t>
  </si>
  <si>
    <t>ESSC</t>
  </si>
  <si>
    <t>East Stone Acquisition Corporation Ordinary Shares</t>
  </si>
  <si>
    <t>ESSCR</t>
  </si>
  <si>
    <t>East Stone Acquisition Corporation Right</t>
  </si>
  <si>
    <t>ESSCW</t>
  </si>
  <si>
    <t>East Stone Acquisition Corporation Warrant</t>
  </si>
  <si>
    <t>ESTA</t>
  </si>
  <si>
    <t>Establishment Labs Holdings Inc. Common Shares</t>
  </si>
  <si>
    <t>ESXB</t>
  </si>
  <si>
    <t>Community Bankers Trust Corporation Common Stock (VA)</t>
  </si>
  <si>
    <t>ETAC</t>
  </si>
  <si>
    <t>E.Merge Technology Acquisition Corp. Class A Common Stock</t>
  </si>
  <si>
    <t>ETACU</t>
  </si>
  <si>
    <t>E.Merge Technology Acquisition Corp. Unit</t>
  </si>
  <si>
    <t>ETACW</t>
  </si>
  <si>
    <t>E.Merge Technology Acquisition Corp. Warrant</t>
  </si>
  <si>
    <t>ETNB</t>
  </si>
  <si>
    <t>89bio Inc. Common Stock</t>
  </si>
  <si>
    <t>ETON</t>
  </si>
  <si>
    <t>Eton Pharmaceuticals Inc. Common Stock</t>
  </si>
  <si>
    <t>ETSY</t>
  </si>
  <si>
    <t>Etsy Inc. Common Stock</t>
  </si>
  <si>
    <t>ETTX</t>
  </si>
  <si>
    <t>Entasis Therapeutics Holdings Inc. Common Stock</t>
  </si>
  <si>
    <t>EUCR</t>
  </si>
  <si>
    <t>Eucrates Biomedical Acquisition Corp. Ordinary Shares</t>
  </si>
  <si>
    <t>EUSG</t>
  </si>
  <si>
    <t>European Sustainable Growth Acquisition Corp. Class A Ordinary Shares</t>
  </si>
  <si>
    <t>EUSGU</t>
  </si>
  <si>
    <t>European Sustainable Growth Acquisition Corp. Unit</t>
  </si>
  <si>
    <t>EUSGW</t>
  </si>
  <si>
    <t>European Sustainable Growth Acquisition Corp. Warrant</t>
  </si>
  <si>
    <t>EVAX</t>
  </si>
  <si>
    <t>Evaxion Biotech A/S American Depositary Share</t>
  </si>
  <si>
    <t>EVBG</t>
  </si>
  <si>
    <t>Everbridge Inc. Common Stock</t>
  </si>
  <si>
    <t>EVCM</t>
  </si>
  <si>
    <t>EverCommerce Inc. Common Stock</t>
  </si>
  <si>
    <t>EVER</t>
  </si>
  <si>
    <t>EverQuote Inc. Class A Common Stock</t>
  </si>
  <si>
    <t>EVFM</t>
  </si>
  <si>
    <t>Evofem Biosciences Inc. Common Stock</t>
  </si>
  <si>
    <t>EVGN</t>
  </si>
  <si>
    <t>Evogene Ltd Ordinary Shares</t>
  </si>
  <si>
    <t>EVGO</t>
  </si>
  <si>
    <t>EVgo Inc. Class A Common Stock</t>
  </si>
  <si>
    <t>EVGOW</t>
  </si>
  <si>
    <t>EVgo Inc. Warrants</t>
  </si>
  <si>
    <t>EVK</t>
  </si>
  <si>
    <t>Ever-Glory International Group Inc. Common Stock</t>
  </si>
  <si>
    <t>EVLO</t>
  </si>
  <si>
    <t>Evelo Biosciences Inc. Common Stock</t>
  </si>
  <si>
    <t>EVLV</t>
  </si>
  <si>
    <t>Evolv Technologies Holdings Inc. Class A Common Stock</t>
  </si>
  <si>
    <t>EVLVU</t>
  </si>
  <si>
    <t>Evolv Technologies Holdings Inc. Unit</t>
  </si>
  <si>
    <t>EVLVW</t>
  </si>
  <si>
    <t>Evolv Technologies Holdings Inc. Warrant</t>
  </si>
  <si>
    <t>EVOJU</t>
  </si>
  <si>
    <t>Evo Acquisition Corp. Unit</t>
  </si>
  <si>
    <t>EVOJW</t>
  </si>
  <si>
    <t>Evo Acquisition Corp. Warrant</t>
  </si>
  <si>
    <t>EVOK</t>
  </si>
  <si>
    <t>Evoke Pharma Inc. Common Stock</t>
  </si>
  <si>
    <t>EVOL</t>
  </si>
  <si>
    <t>Evolving Systems Inc. Common Stock</t>
  </si>
  <si>
    <t>EVOP</t>
  </si>
  <si>
    <t>EVO Payments Inc. Class A Common Stock</t>
  </si>
  <si>
    <t>EWBC</t>
  </si>
  <si>
    <t>East West Bancorp Inc. Common Stock</t>
  </si>
  <si>
    <t>EWCZ</t>
  </si>
  <si>
    <t>European Wax Center Inc. Class A Common Stock</t>
  </si>
  <si>
    <t>EWTX</t>
  </si>
  <si>
    <t>Edgewise Therapeutics Inc. Common Stock</t>
  </si>
  <si>
    <t>EXAS</t>
  </si>
  <si>
    <t>Exact Sciences Corporation Common Stock</t>
  </si>
  <si>
    <t>EXC</t>
  </si>
  <si>
    <t>Exelon Corporation Common Stock</t>
  </si>
  <si>
    <t>EXEL</t>
  </si>
  <si>
    <t>Exelixis Inc. Common Stock</t>
  </si>
  <si>
    <t>EXFO</t>
  </si>
  <si>
    <t>EXFO Inc</t>
  </si>
  <si>
    <t>EXLS</t>
  </si>
  <si>
    <t>ExlService Holdings Inc. Common Stock</t>
  </si>
  <si>
    <t>EXPD</t>
  </si>
  <si>
    <t>Expeditors International of Washington Inc. Common Stock</t>
  </si>
  <si>
    <t>EXPE</t>
  </si>
  <si>
    <t>Expedia Group Inc. Common Stock</t>
  </si>
  <si>
    <t>EXPI</t>
  </si>
  <si>
    <t>eXp World Holdings Inc. Common Stock</t>
  </si>
  <si>
    <t>EXPO</t>
  </si>
  <si>
    <t>Exponent Inc. Common Stock</t>
  </si>
  <si>
    <t>EXTR</t>
  </si>
  <si>
    <t>Extreme Networks Inc. Common Stock</t>
  </si>
  <si>
    <t>EYE</t>
  </si>
  <si>
    <t>National Vision Holdings Inc. Common Stock</t>
  </si>
  <si>
    <t>EYEG</t>
  </si>
  <si>
    <t>Eyegate Pharmaceuticals Inc. Common Stock</t>
  </si>
  <si>
    <t>EYEN</t>
  </si>
  <si>
    <t>Eyenovia Inc. Common Stock</t>
  </si>
  <si>
    <t>EYES</t>
  </si>
  <si>
    <t>Second Sight Medical Products Inc. Common Stock</t>
  </si>
  <si>
    <t>EYESW</t>
  </si>
  <si>
    <t>Second Sight Medical Products Inc. Warrants expiring 03/14/2024</t>
  </si>
  <si>
    <t>EYPT</t>
  </si>
  <si>
    <t>EyePoint Pharmaceuticals Inc. Common Stock</t>
  </si>
  <si>
    <t>EZGO</t>
  </si>
  <si>
    <t>EZGO Technologies Ltd. Ordinary Shares</t>
  </si>
  <si>
    <t>EZPW</t>
  </si>
  <si>
    <t>EZCORP Inc. Class A Non Voting Common Stock</t>
  </si>
  <si>
    <t>FA</t>
  </si>
  <si>
    <t>First Advantage Corporation Common Stock</t>
  </si>
  <si>
    <t>FAMI</t>
  </si>
  <si>
    <t>Farmmi Inc. Ordinary Shares</t>
  </si>
  <si>
    <t>FANG</t>
  </si>
  <si>
    <t>Diamondback Energy Inc. Commmon Stock</t>
  </si>
  <si>
    <t>FANH</t>
  </si>
  <si>
    <t>Fanhua Inc. American Depositary Shares</t>
  </si>
  <si>
    <t>FARM</t>
  </si>
  <si>
    <t>Farmer Brothers Company Common Stock</t>
  </si>
  <si>
    <t>FARO</t>
  </si>
  <si>
    <t>FARO Technologies Inc. Common Stock</t>
  </si>
  <si>
    <t>FAST</t>
  </si>
  <si>
    <t>Fastenal Company Common Stock</t>
  </si>
  <si>
    <t>FAT</t>
  </si>
  <si>
    <t>FAT Brands Inc. Common Stock</t>
  </si>
  <si>
    <t>FATBP</t>
  </si>
  <si>
    <t>FAT Brands Inc. 8.25% Series B Cumulative Preferred Stock</t>
  </si>
  <si>
    <t>FATBW</t>
  </si>
  <si>
    <t>FAT Brands Inc. Warrant</t>
  </si>
  <si>
    <t>FATE</t>
  </si>
  <si>
    <t>Fate Therapeutics Inc. Common Stock</t>
  </si>
  <si>
    <t>FB</t>
  </si>
  <si>
    <t>Facebook Inc. Class A Common Stock</t>
  </si>
  <si>
    <t>FBIO</t>
  </si>
  <si>
    <t>Fortress Biotech Inc. Common Stock</t>
  </si>
  <si>
    <t>FBIOP</t>
  </si>
  <si>
    <t>Fortress Biotech Inc. 9.375% Series A Cumulative Redeemable Perpetual Preferred Stock</t>
  </si>
  <si>
    <t>FBIZ</t>
  </si>
  <si>
    <t>First Business Financial Services Inc. Common Stock</t>
  </si>
  <si>
    <t>FBMS</t>
  </si>
  <si>
    <t>First Bancshares Inc.</t>
  </si>
  <si>
    <t>FBNC</t>
  </si>
  <si>
    <t>First Bancorp Common Stock</t>
  </si>
  <si>
    <t>FBRX</t>
  </si>
  <si>
    <t>Forte Biosciences Inc. Common Stock</t>
  </si>
  <si>
    <t>FCAP</t>
  </si>
  <si>
    <t>First Capital Inc. Common Stock</t>
  </si>
  <si>
    <t>FCBC</t>
  </si>
  <si>
    <t>First Community Bankshares Inc. (VA) Common Stock</t>
  </si>
  <si>
    <t>FCCO</t>
  </si>
  <si>
    <t>First Community Corporation Common Stock</t>
  </si>
  <si>
    <t>FCCY</t>
  </si>
  <si>
    <t>1st Constitution Bancorp (NJ) Common Stock</t>
  </si>
  <si>
    <t>FCEL</t>
  </si>
  <si>
    <t>FuelCell Energy Inc. Common Stock</t>
  </si>
  <si>
    <t>FCFS</t>
  </si>
  <si>
    <t>FirstCash Inc. Common Stock</t>
  </si>
  <si>
    <t>FCNCA</t>
  </si>
  <si>
    <t>First Citizens BancShares Inc. Class A Common Stock</t>
  </si>
  <si>
    <t>FCNCP</t>
  </si>
  <si>
    <t>First Citizens BancShares Inc. Depositary Shares</t>
  </si>
  <si>
    <t>FCRD</t>
  </si>
  <si>
    <t>First Eagle Alternative Capital BDC Inc. Common Stock</t>
  </si>
  <si>
    <t>FDBC</t>
  </si>
  <si>
    <t>Fidelity D &amp; D Bancorp Inc. Common Stock</t>
  </si>
  <si>
    <t>FDMT</t>
  </si>
  <si>
    <t>4D Molecular Therapeutics Inc. Common Stock</t>
  </si>
  <si>
    <t>FDUS</t>
  </si>
  <si>
    <t>Fidus Investment Corporation Common Stock</t>
  </si>
  <si>
    <t>FDUSG</t>
  </si>
  <si>
    <t>Fidus Investment Corporation 5.375% Notes Due 2024</t>
  </si>
  <si>
    <t>FDUSZ</t>
  </si>
  <si>
    <t>Fidus Investment Corporation 6% Notes due 2024</t>
  </si>
  <si>
    <t>FEIM</t>
  </si>
  <si>
    <t>Frequency Electronics Inc. Common Stock</t>
  </si>
  <si>
    <t>FELE</t>
  </si>
  <si>
    <t>Franklin Electric Co. Inc. Common Stock</t>
  </si>
  <si>
    <t>FEMY</t>
  </si>
  <si>
    <t>Femasys Inc. Common Stock</t>
  </si>
  <si>
    <t>FENC</t>
  </si>
  <si>
    <t>Fennec Pharmaceuticals Inc. Common Stock</t>
  </si>
  <si>
    <t>FEYE</t>
  </si>
  <si>
    <t>FireEye Inc. Common Stock</t>
  </si>
  <si>
    <t>FFBC</t>
  </si>
  <si>
    <t>First Financial Bancorp. Common Stock</t>
  </si>
  <si>
    <t>FFBW</t>
  </si>
  <si>
    <t>FFBW Inc. Common Stock (MD)</t>
  </si>
  <si>
    <t>FFHL</t>
  </si>
  <si>
    <t>Fuwei Films (Holdings) Co. Ltd. Ordinary Shares</t>
  </si>
  <si>
    <t>FFIC</t>
  </si>
  <si>
    <t>Flushing Financial Corporation Common Stock</t>
  </si>
  <si>
    <t>FFIE</t>
  </si>
  <si>
    <t>Faraday Future Intelligent Electric Inc. Common Stock</t>
  </si>
  <si>
    <t>FFIEW</t>
  </si>
  <si>
    <t>Faraday Future Intelligent Electric Inc. Warrant</t>
  </si>
  <si>
    <t>FFIN</t>
  </si>
  <si>
    <t>First Financial Bankshares Inc. Common Stock</t>
  </si>
  <si>
    <t>FFIV</t>
  </si>
  <si>
    <t>F5 Networks Inc. Common Stock</t>
  </si>
  <si>
    <t>FFNW</t>
  </si>
  <si>
    <t>First Financial Northwest Inc. Common Stock</t>
  </si>
  <si>
    <t>FFWM</t>
  </si>
  <si>
    <t>First Foundation Inc. Common Stock</t>
  </si>
  <si>
    <t>FGBI</t>
  </si>
  <si>
    <t>First Guaranty Bancshares Inc. Common Stock</t>
  </si>
  <si>
    <t>FGBIP</t>
  </si>
  <si>
    <t>First Guaranty Bancshares Inc. 6.75% Series A Fixed-Rate Non-Cumulative Perpetual Preferred Stock</t>
  </si>
  <si>
    <t>FGEN</t>
  </si>
  <si>
    <t>FibroGen Inc Common Stock</t>
  </si>
  <si>
    <t>FGF</t>
  </si>
  <si>
    <t>FG Financial Group Inc. Common Stock</t>
  </si>
  <si>
    <t>FGFPP</t>
  </si>
  <si>
    <t>FG Financial Group Inc. 8.00% Cumulative Preferred Stock</t>
  </si>
  <si>
    <t>FHB</t>
  </si>
  <si>
    <t>First Hawaiian Inc. Common Stock</t>
  </si>
  <si>
    <t>FHTX</t>
  </si>
  <si>
    <t>Foghorn Therapeutics Inc. Common Stock</t>
  </si>
  <si>
    <t>FIBK</t>
  </si>
  <si>
    <t>First Interstate BancSystem Inc. Class A Common Stock</t>
  </si>
  <si>
    <t>FINM</t>
  </si>
  <si>
    <t>Marlin Technology Corporation Class A Ordinary Share</t>
  </si>
  <si>
    <t>FINMU</t>
  </si>
  <si>
    <t>Marlin Technology Corporation Unit</t>
  </si>
  <si>
    <t>FINMW</t>
  </si>
  <si>
    <t>Marlin Technology Corporation Warrant</t>
  </si>
  <si>
    <t>FISI</t>
  </si>
  <si>
    <t>Financial Institutions Inc. Common Stock</t>
  </si>
  <si>
    <t>FISV</t>
  </si>
  <si>
    <t>Fiserv Inc. Common Stock</t>
  </si>
  <si>
    <t>FITB</t>
  </si>
  <si>
    <t>Fifth Third Bancorp Common Stock</t>
  </si>
  <si>
    <t>FITBI</t>
  </si>
  <si>
    <t>Fifth Third Bancorp Depositary Shares</t>
  </si>
  <si>
    <t>FITBO</t>
  </si>
  <si>
    <t>Fifth Third Bancorp Depositary Shares each representing a 1/1000th ownership interest in a share of Non-Cumulative Perpetual Preferred Stock Series K</t>
  </si>
  <si>
    <t>FITBP</t>
  </si>
  <si>
    <t>Fifth Third Bancorp Depositary Shares each representing 1/40th share of Fifth Third 6.00% Non-Cumulative Perpetual Class B Preferred Stock Series A</t>
  </si>
  <si>
    <t>FIVE</t>
  </si>
  <si>
    <t>Five Below Inc. Common Stock</t>
  </si>
  <si>
    <t>FIVN</t>
  </si>
  <si>
    <t>Five9 Inc. Common Stock</t>
  </si>
  <si>
    <t>FIXX</t>
  </si>
  <si>
    <t>Homology Medicines Inc. Common Stock</t>
  </si>
  <si>
    <t>FIZZ</t>
  </si>
  <si>
    <t>National Beverage Corp. Common Stock</t>
  </si>
  <si>
    <t>FKWL</t>
  </si>
  <si>
    <t>Franklin Wireless Corp. Common Stock</t>
  </si>
  <si>
    <t>FLAC</t>
  </si>
  <si>
    <t>Frazier Lifesciences Acquisition Corporation Class A Ordinary Shares</t>
  </si>
  <si>
    <t>FLACU</t>
  </si>
  <si>
    <t>Frazier Lifesciences Acquisition Corporation Unit</t>
  </si>
  <si>
    <t>FLACW</t>
  </si>
  <si>
    <t>Frazier Lifesciences Acquisition Corporation Warrant</t>
  </si>
  <si>
    <t>FLDM</t>
  </si>
  <si>
    <t>Fluidigm Corporation Common Stock</t>
  </si>
  <si>
    <t>FLEX</t>
  </si>
  <si>
    <t>Flex Ltd. Ordinary Shares</t>
  </si>
  <si>
    <t>FLGC</t>
  </si>
  <si>
    <t>Flora Growth Corp. Common Stock</t>
  </si>
  <si>
    <t>FLGT</t>
  </si>
  <si>
    <t>Fulgent Genetics Inc. Common Stock</t>
  </si>
  <si>
    <t>FLIC</t>
  </si>
  <si>
    <t>First of Long Island Corporation (The) Common Stock</t>
  </si>
  <si>
    <t>FLL</t>
  </si>
  <si>
    <t>Full House Resorts Inc. Common Stock</t>
  </si>
  <si>
    <t>FLMN</t>
  </si>
  <si>
    <t>Falcon Minerals Corporation Class A Common Stock</t>
  </si>
  <si>
    <t>FLMNW</t>
  </si>
  <si>
    <t>Falcon Minerals Corporation Warrant</t>
  </si>
  <si>
    <t>FLNT</t>
  </si>
  <si>
    <t>Fluent Inc. Common Stock</t>
  </si>
  <si>
    <t>FLUX</t>
  </si>
  <si>
    <t>Flux Power Holdings Inc. Common Stock</t>
  </si>
  <si>
    <t>FLWS</t>
  </si>
  <si>
    <t>1-800-FLOWERS.COM Inc. Common Stock</t>
  </si>
  <si>
    <t>FLXN</t>
  </si>
  <si>
    <t>Flexion Therapeutics Inc. Common Stock</t>
  </si>
  <si>
    <t>FLXS</t>
  </si>
  <si>
    <t>Flexsteel Industries Inc. Common Stock</t>
  </si>
  <si>
    <t>FLYW</t>
  </si>
  <si>
    <t>Flywire Corporation Voting Common Stock</t>
  </si>
  <si>
    <t>FMAO</t>
  </si>
  <si>
    <t>Farmers &amp; Merchants Bancorp Inc. Common Stock</t>
  </si>
  <si>
    <t>FMBH</t>
  </si>
  <si>
    <t>First Mid Bancshares Inc. Common Stock</t>
  </si>
  <si>
    <t>FMBI</t>
  </si>
  <si>
    <t>First Midwest Bancorp Inc. Common Stock</t>
  </si>
  <si>
    <t>FMBIO</t>
  </si>
  <si>
    <t>First Midwest Bancorp Inc. Depositary Shares Each Representing a 1/40th Interest in a Share of Fixed Rate Non-Cumulative Perpetual Preferred Stock Series C</t>
  </si>
  <si>
    <t>FMBIP</t>
  </si>
  <si>
    <t>First Midwest Bancorp Inc. Depositary Shares Each Representing a 1/40th Interest in a Share of Fixed Rate Non-Cumulative Perpetual Preferred Stock Series A</t>
  </si>
  <si>
    <t>FMIVU</t>
  </si>
  <si>
    <t>Forum Merger IV Corporation Unit</t>
  </si>
  <si>
    <t>FMIVW</t>
  </si>
  <si>
    <t>Forum Merger IV Corporation Warrant</t>
  </si>
  <si>
    <t>FMNB</t>
  </si>
  <si>
    <t>Farmers National Banc Corp. Common Stock</t>
  </si>
  <si>
    <t>FMTX</t>
  </si>
  <si>
    <t>Forma Therapeutics Holdings Inc. Common Stock</t>
  </si>
  <si>
    <t>FNCB</t>
  </si>
  <si>
    <t>FNCB Bancorp Inc. Common Stock</t>
  </si>
  <si>
    <t>FNCH</t>
  </si>
  <si>
    <t>Finch Therapeutics Group Inc. Common Stock</t>
  </si>
  <si>
    <t>FNHC</t>
  </si>
  <si>
    <t>FedNat Holding Company Common Stock</t>
  </si>
  <si>
    <t>FNKO</t>
  </si>
  <si>
    <t>Funko Inc. Class A Common Stock</t>
  </si>
  <si>
    <t>FNLC</t>
  </si>
  <si>
    <t>First Bancorp Inc  (ME) Common Stock</t>
  </si>
  <si>
    <t>FNWB</t>
  </si>
  <si>
    <t>First Northwest Bancorp Common Stock</t>
  </si>
  <si>
    <t>FOCS</t>
  </si>
  <si>
    <t>Focus Financial Partners Inc. Class A Common Stock</t>
  </si>
  <si>
    <t>FOLD</t>
  </si>
  <si>
    <t>Amicus Therapeutics Inc. Common Stock</t>
  </si>
  <si>
    <t>FONR</t>
  </si>
  <si>
    <t>Fonar Corporation Common Stock</t>
  </si>
  <si>
    <t>FORA</t>
  </si>
  <si>
    <t>Forian Inc. Common Stock</t>
  </si>
  <si>
    <t>FORD</t>
  </si>
  <si>
    <t>Forward Industries Inc. Common Stock</t>
  </si>
  <si>
    <t>FOREU</t>
  </si>
  <si>
    <t>Foresight Acquisition Corp. Units</t>
  </si>
  <si>
    <t>FOREW</t>
  </si>
  <si>
    <t>Foresight Acquisition Corp. Warrant</t>
  </si>
  <si>
    <t>FORM</t>
  </si>
  <si>
    <t>FormFactor Inc. FormFactor Inc. Common Stock</t>
  </si>
  <si>
    <t>FORR</t>
  </si>
  <si>
    <t>Forrester Research Inc. Common Stock</t>
  </si>
  <si>
    <t>FORTY</t>
  </si>
  <si>
    <t>Formula Systems (1985) Ltd. American Depositary Shares</t>
  </si>
  <si>
    <t>FOSL</t>
  </si>
  <si>
    <t>Fossil Group Inc. Common Stock</t>
  </si>
  <si>
    <t>FOX</t>
  </si>
  <si>
    <t>Fox Corporation Class B Common Stock</t>
  </si>
  <si>
    <t>FOXA</t>
  </si>
  <si>
    <t>Fox Corporation Class A Common Stock</t>
  </si>
  <si>
    <t>FOXF</t>
  </si>
  <si>
    <t>Fox Factory Holding Corp. Common Stock</t>
  </si>
  <si>
    <t>FOXWW</t>
  </si>
  <si>
    <t>FoxWayne Enterprises Acquisition Corp. Warrant</t>
  </si>
  <si>
    <t>FPAY</t>
  </si>
  <si>
    <t>FlexShopper Inc. Common Stock</t>
  </si>
  <si>
    <t>FRAF</t>
  </si>
  <si>
    <t>Franklin Financial Services Corporation Common Stock</t>
  </si>
  <si>
    <t>FRBA</t>
  </si>
  <si>
    <t>First Bank Common Stock</t>
  </si>
  <si>
    <t>FRBK</t>
  </si>
  <si>
    <t>Republic First Bancorp Inc. Common Stock</t>
  </si>
  <si>
    <t>FREE</t>
  </si>
  <si>
    <t>Whole Earth Brands Inc. Class A Common Stock</t>
  </si>
  <si>
    <t>FREEW</t>
  </si>
  <si>
    <t>Whole Earth Brands Inc. Warrant</t>
  </si>
  <si>
    <t>FREQ</t>
  </si>
  <si>
    <t>Frequency Therapeutics Inc. Common Stock</t>
  </si>
  <si>
    <t>FRG</t>
  </si>
  <si>
    <t>Franchise Group Inc. Common Stock</t>
  </si>
  <si>
    <t>FRGAP</t>
  </si>
  <si>
    <t>Franchise Group Inc. 7.50% Series A Cumulative Perpetual Preferred Stock</t>
  </si>
  <si>
    <t>FRGI</t>
  </si>
  <si>
    <t>Fiesta Restaurant Group Inc. Common Stock</t>
  </si>
  <si>
    <t>FRHC</t>
  </si>
  <si>
    <t>Freedom Holding Corp. Common Stock</t>
  </si>
  <si>
    <t>FRLN</t>
  </si>
  <si>
    <t>Freeline Therapeutics Holdings plc American Depositary Shares</t>
  </si>
  <si>
    <t>FRME</t>
  </si>
  <si>
    <t>First Merchants Corporation Common Stock</t>
  </si>
  <si>
    <t>FROG</t>
  </si>
  <si>
    <t>JFrog Ltd. Ordinary Shares</t>
  </si>
  <si>
    <t>FRON</t>
  </si>
  <si>
    <t>Frontier Acquisition Corp. Class A Ordinary Shares</t>
  </si>
  <si>
    <t>FRONU</t>
  </si>
  <si>
    <t>Frontier Acquisition Corp. Units</t>
  </si>
  <si>
    <t>FRONW</t>
  </si>
  <si>
    <t>Frontier Acquisition Corp. Warrant</t>
  </si>
  <si>
    <t>FRPH</t>
  </si>
  <si>
    <t>FRP Holdings Inc. Common Stock</t>
  </si>
  <si>
    <t>FRPT</t>
  </si>
  <si>
    <t>Freshpet Inc. Common Stock</t>
  </si>
  <si>
    <t>FRSGW</t>
  </si>
  <si>
    <t>First Reserve Sustainable Growth Corp. Warrant</t>
  </si>
  <si>
    <t>FRST</t>
  </si>
  <si>
    <t>Primis Financial Corp. Common Stock</t>
  </si>
  <si>
    <t>FRSX</t>
  </si>
  <si>
    <t>Foresight Autonomous Holdings Ltd. American Depositary Shares</t>
  </si>
  <si>
    <t>FRTA</t>
  </si>
  <si>
    <t>Forterra Inc. Common Stock</t>
  </si>
  <si>
    <t>FRW</t>
  </si>
  <si>
    <t>PWP Forward Acquisition Corp. I Class A Common Stock</t>
  </si>
  <si>
    <t>FRWAU</t>
  </si>
  <si>
    <t>PWP Forward Acquisition Corp. I Units</t>
  </si>
  <si>
    <t>FRWAW</t>
  </si>
  <si>
    <t>PWP Forward Acquisition Corp. I Warrant</t>
  </si>
  <si>
    <t>FSBC</t>
  </si>
  <si>
    <t>Five Star Bancorp Common Stock</t>
  </si>
  <si>
    <t>FSBW</t>
  </si>
  <si>
    <t>FS Bancorp Inc. Common Stock</t>
  </si>
  <si>
    <t>FSEA</t>
  </si>
  <si>
    <t>First Seacoast Bancorp Common Stock</t>
  </si>
  <si>
    <t>FSFG</t>
  </si>
  <si>
    <t>First Savings Financial Group Inc. Common Stock</t>
  </si>
  <si>
    <t>FSII</t>
  </si>
  <si>
    <t>FS Development Corp. II Class A Common Stock</t>
  </si>
  <si>
    <t>FSLR</t>
  </si>
  <si>
    <t>First Solar Inc. Common Stock</t>
  </si>
  <si>
    <t>FSRX</t>
  </si>
  <si>
    <t>FinServ Acquisition Corp. II Class A Common Stock</t>
  </si>
  <si>
    <t>FSRXU</t>
  </si>
  <si>
    <t>FinServ Acquisition Corp. II Unit</t>
  </si>
  <si>
    <t>FSRXW</t>
  </si>
  <si>
    <t>FinServ Acquisition Corp. II Warrant</t>
  </si>
  <si>
    <t>FSSIU</t>
  </si>
  <si>
    <t>Fortistar Sustainable Solutions Corp. Unit</t>
  </si>
  <si>
    <t>FSSIW</t>
  </si>
  <si>
    <t>Fortistar Sustainable Solutions Corp. Warrant</t>
  </si>
  <si>
    <t>FSTR</t>
  </si>
  <si>
    <t>L.B. Foster Company Common Stock</t>
  </si>
  <si>
    <t>FSTX</t>
  </si>
  <si>
    <t>F-star Therapeutics Inc. Common Stock</t>
  </si>
  <si>
    <t>FSV</t>
  </si>
  <si>
    <t>FirstService Corporation Common Shares</t>
  </si>
  <si>
    <t>FTAA</t>
  </si>
  <si>
    <t>FTAC Athena Acquisition Corp. Class A Ordinary Share</t>
  </si>
  <si>
    <t>FTAAU</t>
  </si>
  <si>
    <t>FTAC Athena Acquisition Corp. Unit</t>
  </si>
  <si>
    <t>FTAAW</t>
  </si>
  <si>
    <t>FTAC Athena Acquisition Corp. Warrant</t>
  </si>
  <si>
    <t>FTCI</t>
  </si>
  <si>
    <t>FTC Solar Inc. Common Stock</t>
  </si>
  <si>
    <t>FTCV</t>
  </si>
  <si>
    <t>FinTech Acquisition Corp. V Class A Common Stock</t>
  </si>
  <si>
    <t>FTCVU</t>
  </si>
  <si>
    <t>FinTech Acquisition Corp. V Unit</t>
  </si>
  <si>
    <t>FTCVW</t>
  </si>
  <si>
    <t>FinTech Acquisition Corp. V Warrant</t>
  </si>
  <si>
    <t>FTDR</t>
  </si>
  <si>
    <t>Frontdoor Inc. Common Stock</t>
  </si>
  <si>
    <t>FTEK</t>
  </si>
  <si>
    <t>Fuel Tech Inc. Common Stock</t>
  </si>
  <si>
    <t>FTFT</t>
  </si>
  <si>
    <t>Future FinTech Group Inc. Common Stock</t>
  </si>
  <si>
    <t>FTHM</t>
  </si>
  <si>
    <t>Fathom Holdings Inc. Common Stock</t>
  </si>
  <si>
    <t>FTNT</t>
  </si>
  <si>
    <t>Fortinet Inc. Common Stock</t>
  </si>
  <si>
    <t>FTPAU</t>
  </si>
  <si>
    <t>FTAC Parnassus Acquisition Corp. Unit</t>
  </si>
  <si>
    <t>FTPAW</t>
  </si>
  <si>
    <t>FTAC Parnassus Acquisition Corp. Warrant</t>
  </si>
  <si>
    <t>FTRP</t>
  </si>
  <si>
    <t>Field Trip Health Ltd. Common Shares</t>
  </si>
  <si>
    <t>FTVIU</t>
  </si>
  <si>
    <t>FinTech Acquisition Corp. VI Units</t>
  </si>
  <si>
    <t>FULC</t>
  </si>
  <si>
    <t>Fulcrum Therapeutics Inc. Common Stock</t>
  </si>
  <si>
    <t>FULT</t>
  </si>
  <si>
    <t>Fulton Financial Corporation Common Stock</t>
  </si>
  <si>
    <t>FULTP</t>
  </si>
  <si>
    <t>Fulton Financial Corporation Depositary Shares Each Representing a 1/40th Interest in a Share of Fixed Rate Non-Cumulative Perpetual Preferred Stock Series A</t>
  </si>
  <si>
    <t>FUNC</t>
  </si>
  <si>
    <t>First United Corporation Common Stock</t>
  </si>
  <si>
    <t>FUND</t>
  </si>
  <si>
    <t>Sprott Focus Trust Inc. Common Stock</t>
  </si>
  <si>
    <t>FUSB</t>
  </si>
  <si>
    <t>First US Bancshares Inc. Common Stock</t>
  </si>
  <si>
    <t>FUSN</t>
  </si>
  <si>
    <t>Fusion Pharmaceuticals Inc. Common Shares</t>
  </si>
  <si>
    <t>FUTU</t>
  </si>
  <si>
    <t>Futu Holdings Limited American Depositary Shares</t>
  </si>
  <si>
    <t>FUV</t>
  </si>
  <si>
    <t>Arcimoto Inc. Common Stock</t>
  </si>
  <si>
    <t>FVAM</t>
  </si>
  <si>
    <t>5:01 Acquisition Corp. Class A Common Stock</t>
  </si>
  <si>
    <t>FVCB</t>
  </si>
  <si>
    <t>FVCBankcorp Inc. Common Stock</t>
  </si>
  <si>
    <t>FVE</t>
  </si>
  <si>
    <t>Five Star Senior Living Inc. Common Stock</t>
  </si>
  <si>
    <t>FWAA</t>
  </si>
  <si>
    <t>Fifth Wall Acquisition Corp. I Class A Common Stock</t>
  </si>
  <si>
    <t>FWAC</t>
  </si>
  <si>
    <t>Fifth Wall Acquisition Corp. III Class A Ordinary Shares</t>
  </si>
  <si>
    <t>FWONA</t>
  </si>
  <si>
    <t>Liberty Media Corporation Series A Liberty Formula One Common Stock</t>
  </si>
  <si>
    <t>FWONK</t>
  </si>
  <si>
    <t>Liberty Media Corporation Series C Liberty Formula One Common Stock</t>
  </si>
  <si>
    <t>FWP</t>
  </si>
  <si>
    <t>Forward Pharma A/S American Depositary Shares</t>
  </si>
  <si>
    <t>FWRD</t>
  </si>
  <si>
    <t>Forward Air Corporation Common Stock</t>
  </si>
  <si>
    <t>FXNC</t>
  </si>
  <si>
    <t>First National Corporation Common Stock</t>
  </si>
  <si>
    <t>FYBR</t>
  </si>
  <si>
    <t>Frontier Communications Parent Inc. Common Stock</t>
  </si>
  <si>
    <t>GABC</t>
  </si>
  <si>
    <t>German American Bancorp Inc. Common Stock</t>
  </si>
  <si>
    <t>GACQ</t>
  </si>
  <si>
    <t>Global Consumer Acquisition Corp. Common Stock</t>
  </si>
  <si>
    <t>GACQU</t>
  </si>
  <si>
    <t>Global Consumer Acquisition Corp. Unit</t>
  </si>
  <si>
    <t>GACQW</t>
  </si>
  <si>
    <t>Global Consumer Acquisition Corp. Warrant</t>
  </si>
  <si>
    <t>GAIA</t>
  </si>
  <si>
    <t>Gaia Inc. Class A Common Stock</t>
  </si>
  <si>
    <t>GAIN</t>
  </si>
  <si>
    <t>Gladstone Investment Corporation Business Development Company</t>
  </si>
  <si>
    <t>GAINL</t>
  </si>
  <si>
    <t>Gladstone Investment Corporation 6.375% Series E Cumulative Term Preferred Stock due 2025</t>
  </si>
  <si>
    <t>GAINN</t>
  </si>
  <si>
    <t>Gladstone Investment Corporation 5.00% Notes Due 2026</t>
  </si>
  <si>
    <t>GALT</t>
  </si>
  <si>
    <t>Galectin Therapeutics Inc. Common Stock</t>
  </si>
  <si>
    <t>GAMB</t>
  </si>
  <si>
    <t>Gambling.com Group Limited Ordinary Shares</t>
  </si>
  <si>
    <t>GAMC</t>
  </si>
  <si>
    <t>Golden Arrow Merger Corp. Class A Common Stock</t>
  </si>
  <si>
    <t>GAMCU</t>
  </si>
  <si>
    <t>Golden Arrow Merger Corp. Unit</t>
  </si>
  <si>
    <t>GAME</t>
  </si>
  <si>
    <t>Engine Media Holdings Inc. Common Stock</t>
  </si>
  <si>
    <t>GAN</t>
  </si>
  <si>
    <t>GAN Limited Ordinary Shares</t>
  </si>
  <si>
    <t>GANX</t>
  </si>
  <si>
    <t>Gain Therapeutics Inc. Common Stock</t>
  </si>
  <si>
    <t>GASS</t>
  </si>
  <si>
    <t>StealthGas Inc. Common Stock</t>
  </si>
  <si>
    <t>GBCI</t>
  </si>
  <si>
    <t>Glacier Bancorp Inc. Common Stock</t>
  </si>
  <si>
    <t>GBDC</t>
  </si>
  <si>
    <t>Golub Capital BDC Inc. Common Stock</t>
  </si>
  <si>
    <t>GBIO</t>
  </si>
  <si>
    <t>Generation Bio Co. Common Stock</t>
  </si>
  <si>
    <t>GBLI</t>
  </si>
  <si>
    <t>Global Indemnity Group LLC Class A Common Stock (DE)</t>
  </si>
  <si>
    <t>GBLIL</t>
  </si>
  <si>
    <t>Global Indemnity Group LLC 7.875% Subordinated Notes due 2047</t>
  </si>
  <si>
    <t>GBNH</t>
  </si>
  <si>
    <t>Greenbrook TMS Inc. Common Shares</t>
  </si>
  <si>
    <t>GBNY</t>
  </si>
  <si>
    <t>Generations Bancorp NY Inc. Common Stock</t>
  </si>
  <si>
    <t>GBOX</t>
  </si>
  <si>
    <t>Greenbox POS Common Stock</t>
  </si>
  <si>
    <t>GBRGW</t>
  </si>
  <si>
    <t>Goldenbridge Acquisition Limited Warrant</t>
  </si>
  <si>
    <t>GBS</t>
  </si>
  <si>
    <t>GBS Inc. Common Stock</t>
  </si>
  <si>
    <t>GBT</t>
  </si>
  <si>
    <t>Global Blood Therapeutics Inc. Common Stock</t>
  </si>
  <si>
    <t>GCAC</t>
  </si>
  <si>
    <t>Growth Capital Acquisition Corp. Class A Common Stock</t>
  </si>
  <si>
    <t>GCACU</t>
  </si>
  <si>
    <t>Growth Capital Acquisition Corp. Unit</t>
  </si>
  <si>
    <t>GCACW</t>
  </si>
  <si>
    <t>Growth Capital Acquisition Corp. Warrant</t>
  </si>
  <si>
    <t>GCBC</t>
  </si>
  <si>
    <t>Greene County Bancorp Inc. Common Stock</t>
  </si>
  <si>
    <t>GCMG</t>
  </si>
  <si>
    <t>GCM Grosvenor Inc. Class A Common Stock</t>
  </si>
  <si>
    <t>GCMGW</t>
  </si>
  <si>
    <t>GCM Grosvenor Inc. Warrant</t>
  </si>
  <si>
    <t>GDEN</t>
  </si>
  <si>
    <t>Golden Entertainment Inc. Common Stock</t>
  </si>
  <si>
    <t>GDRX</t>
  </si>
  <si>
    <t>GoodRx Holdings Inc. Class A Common Stock</t>
  </si>
  <si>
    <t>GDS</t>
  </si>
  <si>
    <t>GDS Holdings Limited ADS</t>
  </si>
  <si>
    <t>GDYN</t>
  </si>
  <si>
    <t>Grid Dynamics Holdings Inc. Class A Common Stock</t>
  </si>
  <si>
    <t>GDYNW</t>
  </si>
  <si>
    <t>Grid Dynamics Holdings Inc. Warrant</t>
  </si>
  <si>
    <t>GECC</t>
  </si>
  <si>
    <t>Great Elm Capital Corp. Common Stock</t>
  </si>
  <si>
    <t>GECCM</t>
  </si>
  <si>
    <t>Great Elm Capital Corp. 6.75% Notes Due 2025</t>
  </si>
  <si>
    <t>GECCN</t>
  </si>
  <si>
    <t>Great Elm Capital Corp. 6.5% Notes due 2024</t>
  </si>
  <si>
    <t>GECCO</t>
  </si>
  <si>
    <t>Great Elm Capital Corp. 5.875% Notes due 2026</t>
  </si>
  <si>
    <t>GEG</t>
  </si>
  <si>
    <t>Great Elm Group Inc. Common Stock</t>
  </si>
  <si>
    <t>GENC</t>
  </si>
  <si>
    <t>Gencor Industries Inc. Common Stock</t>
  </si>
  <si>
    <t>GENE</t>
  </si>
  <si>
    <t>Genetic Technologies Ltd  Sponsored ADR</t>
  </si>
  <si>
    <t>GEOS</t>
  </si>
  <si>
    <t>Geospace Technologies Corporation Common Stock (Texas)</t>
  </si>
  <si>
    <t>GERN</t>
  </si>
  <si>
    <t>Geron Corporation Common Stock</t>
  </si>
  <si>
    <t>GEVO</t>
  </si>
  <si>
    <t>Gevo Inc. Common Stock</t>
  </si>
  <si>
    <t>GFED</t>
  </si>
  <si>
    <t>Guaranty Federal Bancshares Inc. Common Stock</t>
  </si>
  <si>
    <t>GGAL</t>
  </si>
  <si>
    <t>Grupo Financiero Galicia S.A. American Depositary Shares</t>
  </si>
  <si>
    <t>GGGVU</t>
  </si>
  <si>
    <t>G3 VRM Acquisition Corp. Units</t>
  </si>
  <si>
    <t>GGPI</t>
  </si>
  <si>
    <t>Gores Guggenheim Inc. Class A Common Stock</t>
  </si>
  <si>
    <t>GGPIU</t>
  </si>
  <si>
    <t>Gores Guggenheim Inc. Unit</t>
  </si>
  <si>
    <t>GGPIW</t>
  </si>
  <si>
    <t>Gores Guggenheim Inc. Warrant</t>
  </si>
  <si>
    <t>GH</t>
  </si>
  <si>
    <t>Guardant Health Inc. Common Stock</t>
  </si>
  <si>
    <t>GHAC</t>
  </si>
  <si>
    <t>Gaming &amp; Hospitality Acquisition Corp. Class A Common Stock</t>
  </si>
  <si>
    <t>GHACU</t>
  </si>
  <si>
    <t>Gaming &amp; Hospitality Acquisition Corp. Unit</t>
  </si>
  <si>
    <t>GHACW</t>
  </si>
  <si>
    <t>Gaming &amp; Hospitality Acquisition Corp. Warrants</t>
  </si>
  <si>
    <t>GHRS</t>
  </si>
  <si>
    <t>GH Research PLC Ordinary Shares</t>
  </si>
  <si>
    <t>GHSI</t>
  </si>
  <si>
    <t>Guardion Health Sciences Inc. Common Stock</t>
  </si>
  <si>
    <t>GIFI</t>
  </si>
  <si>
    <t>Gulf Island Fabrication Inc. Common Stock</t>
  </si>
  <si>
    <t>GIG</t>
  </si>
  <si>
    <t>GigCapital4 Inc. Common stock</t>
  </si>
  <si>
    <t>GIGGU</t>
  </si>
  <si>
    <t>GigCapital4 Inc. Unit</t>
  </si>
  <si>
    <t>GIGGW</t>
  </si>
  <si>
    <t>GigCapital4 Inc. Warrant</t>
  </si>
  <si>
    <t>GIGM</t>
  </si>
  <si>
    <t>GigaMedia Limited Ordinary Shares</t>
  </si>
  <si>
    <t>GIII</t>
  </si>
  <si>
    <t>G-III Apparel Group LTD. Common Stock</t>
  </si>
  <si>
    <t>GIIX</t>
  </si>
  <si>
    <t>Gores Holdings VIII Inc. Class A Common Stock</t>
  </si>
  <si>
    <t>GIIXU</t>
  </si>
  <si>
    <t>Gores Holdings VIII Inc. Unit</t>
  </si>
  <si>
    <t>GIIXW</t>
  </si>
  <si>
    <t>Gores Holdings VIII Inc. Warrant</t>
  </si>
  <si>
    <t>GILD</t>
  </si>
  <si>
    <t>Gilead Sciences Inc. Common Stock</t>
  </si>
  <si>
    <t>GILT</t>
  </si>
  <si>
    <t>Gilat Satellite Networks Ltd. Ordinary Shares</t>
  </si>
  <si>
    <t>GIW</t>
  </si>
  <si>
    <t>GigInternational1 Inc. Common Stock</t>
  </si>
  <si>
    <t>GIWWU</t>
  </si>
  <si>
    <t>GigInternational1 Inc. Units</t>
  </si>
  <si>
    <t>GIWWW</t>
  </si>
  <si>
    <t>GigInternational1 Inc. Warrant</t>
  </si>
  <si>
    <t>GLAD</t>
  </si>
  <si>
    <t>Gladstone Capital Corporation Common Stock</t>
  </si>
  <si>
    <t>GLADL</t>
  </si>
  <si>
    <t>Gladstone Capital Corporation 5.375% Notes due 2024</t>
  </si>
  <si>
    <t>GLAQ</t>
  </si>
  <si>
    <t>Globis Acquisition Corp. common stock</t>
  </si>
  <si>
    <t>GLAQU</t>
  </si>
  <si>
    <t>Globis Acquisition Corp. Unit</t>
  </si>
  <si>
    <t>GLAQW</t>
  </si>
  <si>
    <t>Globis Acquisition Corp. Warrant</t>
  </si>
  <si>
    <t>GLBE</t>
  </si>
  <si>
    <t>Global-E Online Ltd. Ordinary Shares</t>
  </si>
  <si>
    <t>GLBL</t>
  </si>
  <si>
    <t>Cartesian Growth Corporation Class A Ordinary Share</t>
  </si>
  <si>
    <t>GLBLU</t>
  </si>
  <si>
    <t>Cartesian Growth Corporation Unit</t>
  </si>
  <si>
    <t>GLBLW</t>
  </si>
  <si>
    <t>Cartesian Growth Corporation Warrant</t>
  </si>
  <si>
    <t>GLBS</t>
  </si>
  <si>
    <t>Globus Maritime Limited Common Stock</t>
  </si>
  <si>
    <t>GLBZ</t>
  </si>
  <si>
    <t>Glen Burnie Bancorp Common Stock</t>
  </si>
  <si>
    <t>GLDD</t>
  </si>
  <si>
    <t>Great Lakes Dredge &amp; Dock Corporation Common Stock</t>
  </si>
  <si>
    <t>GLEEU</t>
  </si>
  <si>
    <t>Gladstone Acquisition Corp. Unit</t>
  </si>
  <si>
    <t>GLG</t>
  </si>
  <si>
    <t>TD Holdings Inc. Common Stock</t>
  </si>
  <si>
    <t>GLHA</t>
  </si>
  <si>
    <t>Glass Houses Acquisition Corp. Class A common stock</t>
  </si>
  <si>
    <t>GLHAU</t>
  </si>
  <si>
    <t>Glass Houses Acquisition Corp. Unit</t>
  </si>
  <si>
    <t>GLHAW</t>
  </si>
  <si>
    <t>Glass Houses Acquisition Corp. Warrant</t>
  </si>
  <si>
    <t>GLMD</t>
  </si>
  <si>
    <t>Galmed Pharmaceuticals Ltd. Ordinary Shares</t>
  </si>
  <si>
    <t>GLNG</t>
  </si>
  <si>
    <t>Golar Lng Ltd</t>
  </si>
  <si>
    <t>GLPG</t>
  </si>
  <si>
    <t>Galapagos NV American Depositary Shares</t>
  </si>
  <si>
    <t>GLPI</t>
  </si>
  <si>
    <t>Gaming and Leisure Properties Inc. Common Stock</t>
  </si>
  <si>
    <t>GLRE</t>
  </si>
  <si>
    <t>Greenlight Capital Re Ltd. Class A Ordinary Shares</t>
  </si>
  <si>
    <t>GLSI</t>
  </si>
  <si>
    <t>Greenwich LifeSciences Inc. Common Stock</t>
  </si>
  <si>
    <t>GLSPT</t>
  </si>
  <si>
    <t>Global SPAC Partners Co. Subunit</t>
  </si>
  <si>
    <t>GLSPU</t>
  </si>
  <si>
    <t>Global SPAC Partners Co. Unit</t>
  </si>
  <si>
    <t>GLSPW</t>
  </si>
  <si>
    <t>Global SPAC Partners Co. Warrants</t>
  </si>
  <si>
    <t>GLTO</t>
  </si>
  <si>
    <t>Galecto Inc. Common Stock</t>
  </si>
  <si>
    <t>GLUE</t>
  </si>
  <si>
    <t>Monte Rosa Therapeutics Inc. Common Stock</t>
  </si>
  <si>
    <t>GLYC</t>
  </si>
  <si>
    <t>GlycoMimetics Inc. Common Stock</t>
  </si>
  <si>
    <t>GMAB</t>
  </si>
  <si>
    <t>Genmab A/S ADS</t>
  </si>
  <si>
    <t>GMBL</t>
  </si>
  <si>
    <t>Esports Entertainment Group Inc. Common Stock</t>
  </si>
  <si>
    <t>GMBLW</t>
  </si>
  <si>
    <t>Esports Entertainment Group Inc. Warrant</t>
  </si>
  <si>
    <t>GMBT</t>
  </si>
  <si>
    <t>Queen's Gambit Growth Capital Class A Ordinary Share</t>
  </si>
  <si>
    <t>GMBTU</t>
  </si>
  <si>
    <t>Queen's Gambit Growth Capital Unit</t>
  </si>
  <si>
    <t>GMBTW</t>
  </si>
  <si>
    <t>Queen's Gambit Growth Capital Warrant</t>
  </si>
  <si>
    <t>GMDA</t>
  </si>
  <si>
    <t>Gamida Cell Ltd. Ordinary Shares</t>
  </si>
  <si>
    <t>GMII</t>
  </si>
  <si>
    <t>Gores Metropoulos II Inc. Class A Common Stock</t>
  </si>
  <si>
    <t>GMIIU</t>
  </si>
  <si>
    <t>Gores Metropoulos II Inc. Unit</t>
  </si>
  <si>
    <t>GMIIW</t>
  </si>
  <si>
    <t>Gores Metropoulos II Inc. Warrants</t>
  </si>
  <si>
    <t>GMTX</t>
  </si>
  <si>
    <t>Gemini Therapeutics Inc. Common Stock</t>
  </si>
  <si>
    <t>GMVD</t>
  </si>
  <si>
    <t>G Medical Innovations Holdings Ltd. Ordinary Shares</t>
  </si>
  <si>
    <t>GMVDW</t>
  </si>
  <si>
    <t>G Medical Innovations Holdings Ltd. Warrants</t>
  </si>
  <si>
    <t>GNAC</t>
  </si>
  <si>
    <t>Group Nine Acquisition Corp. Class A Common stock</t>
  </si>
  <si>
    <t>GNACU</t>
  </si>
  <si>
    <t>Group Nine Acquisition Corp. Unit</t>
  </si>
  <si>
    <t>GNACW</t>
  </si>
  <si>
    <t>Group Nine Acquisition Corp. Warrant</t>
  </si>
  <si>
    <t>GNCA</t>
  </si>
  <si>
    <t>Genocea Biosciences Inc. Common Stock</t>
  </si>
  <si>
    <t>GNFT</t>
  </si>
  <si>
    <t>GENFIT S.A. American Depositary Shares</t>
  </si>
  <si>
    <t>GNLN</t>
  </si>
  <si>
    <t>Greenlane Holdings Inc. Class A Common Stock</t>
  </si>
  <si>
    <t>GNOG</t>
  </si>
  <si>
    <t>Golden Nugget Online Gaming Inc. Class A Common Stock</t>
  </si>
  <si>
    <t>GNPX</t>
  </si>
  <si>
    <t>Genprex Inc. Common Stock</t>
  </si>
  <si>
    <t>GNSS</t>
  </si>
  <si>
    <t>Genasys Inc. Common Stock</t>
  </si>
  <si>
    <t>GNTX</t>
  </si>
  <si>
    <t>Gentex Corporation Common Stock</t>
  </si>
  <si>
    <t>GNTY</t>
  </si>
  <si>
    <t>Guaranty Bancshares Inc. Common Stock</t>
  </si>
  <si>
    <t>GNUS</t>
  </si>
  <si>
    <t>Genius Brands International Inc. Common Stock</t>
  </si>
  <si>
    <t>GO</t>
  </si>
  <si>
    <t>Grocery Outlet Holding Corp. Common Stock</t>
  </si>
  <si>
    <t>GOBI</t>
  </si>
  <si>
    <t>Gobi Acquisition Corp. Class A Ordinary Shares</t>
  </si>
  <si>
    <t>GOCO</t>
  </si>
  <si>
    <t>GoHealth Inc. Class A Common Stock</t>
  </si>
  <si>
    <t>GOEV</t>
  </si>
  <si>
    <t>Canoo Inc. Class A Common Stock</t>
  </si>
  <si>
    <t>GOEVW</t>
  </si>
  <si>
    <t>Canoo Inc. Warrant</t>
  </si>
  <si>
    <t>GOGL</t>
  </si>
  <si>
    <t>Golden Ocean Group Limited Common Stock</t>
  </si>
  <si>
    <t>GOGO</t>
  </si>
  <si>
    <t>Gogo Inc. Common Stock</t>
  </si>
  <si>
    <t>GOOD</t>
  </si>
  <si>
    <t>Gladstone Commercial Corporation Real Estate Investment Trust</t>
  </si>
  <si>
    <t>GOODN</t>
  </si>
  <si>
    <t>Gladstone Commercial Corporation 6.625% Series E Cumulative Redeemable Preferred Stock</t>
  </si>
  <si>
    <t>GOODO</t>
  </si>
  <si>
    <t>Gladstone Commercial Corporation 6.00% Series G Cumulative Redeemable Preferred Stock par value $0.001 per share</t>
  </si>
  <si>
    <t>GOOG</t>
  </si>
  <si>
    <t>Alphabet Inc. Class C Capital Stock</t>
  </si>
  <si>
    <t>GOOGL</t>
  </si>
  <si>
    <t>Alphabet Inc. Class A Common Stock</t>
  </si>
  <si>
    <t>GOSS</t>
  </si>
  <si>
    <t>Gossamer Bio Inc. Common Stock</t>
  </si>
  <si>
    <t>GOVX</t>
  </si>
  <si>
    <t>GeoVax Labs Inc. Common Stock</t>
  </si>
  <si>
    <t>GOVXW</t>
  </si>
  <si>
    <t>GeoVax Labs Inc. Warrants</t>
  </si>
  <si>
    <t>GP</t>
  </si>
  <si>
    <t>GreenPower Motor Company Inc. Common Shares</t>
  </si>
  <si>
    <t>GPAC</t>
  </si>
  <si>
    <t>Global Partner Acquisition Corp II Class A Ordinary Share</t>
  </si>
  <si>
    <t>GPACU</t>
  </si>
  <si>
    <t>Global Partner Acquisition Corp II Unit</t>
  </si>
  <si>
    <t>GPACW</t>
  </si>
  <si>
    <t>Global Partner Acquisition Corp II Warrant</t>
  </si>
  <si>
    <t>GPCOR</t>
  </si>
  <si>
    <t>Golden Path Acquisition Corporation Rights</t>
  </si>
  <si>
    <t>GPCOW</t>
  </si>
  <si>
    <t>Golden Path Acquisition Corporation Warrant</t>
  </si>
  <si>
    <t>GPP</t>
  </si>
  <si>
    <t>Green Plains Partners LP Common Units</t>
  </si>
  <si>
    <t>GPRE</t>
  </si>
  <si>
    <t>Green Plains Inc. Common Stock</t>
  </si>
  <si>
    <t>GPRO</t>
  </si>
  <si>
    <t>GoPro Inc. Class A Common Stock</t>
  </si>
  <si>
    <t>GRAY</t>
  </si>
  <si>
    <t>Graybug Vision Inc. Common Stock</t>
  </si>
  <si>
    <t>GRBK</t>
  </si>
  <si>
    <t>Green Brick Partners Inc. Common Stock</t>
  </si>
  <si>
    <t>GRCL</t>
  </si>
  <si>
    <t>Gracell Biotechnologies Inc. American Depositary Shares</t>
  </si>
  <si>
    <t>GRCYW</t>
  </si>
  <si>
    <t>Greencity Acquisition Corporation Warrants</t>
  </si>
  <si>
    <t>GRFS</t>
  </si>
  <si>
    <t>Grifols S.A. American Depositary Shares</t>
  </si>
  <si>
    <t>GRIL</t>
  </si>
  <si>
    <t>Muscle Maker Inc Common Stock</t>
  </si>
  <si>
    <t>GRIN</t>
  </si>
  <si>
    <t>Grindrod Shipping Holdings Ltd. Ordinary Shares</t>
  </si>
  <si>
    <t>GRMN</t>
  </si>
  <si>
    <t>Garmin Ltd. Common Stock (Switzerland)</t>
  </si>
  <si>
    <t>GRNQ</t>
  </si>
  <si>
    <t>Greenpro Capital Corp. Common Stock</t>
  </si>
  <si>
    <t>GRNV</t>
  </si>
  <si>
    <t>GreenVision Acquisition Corp Common stock</t>
  </si>
  <si>
    <t>GRNVR</t>
  </si>
  <si>
    <t>GreenVision Acquisition Corp Rights</t>
  </si>
  <si>
    <t>GRNVW</t>
  </si>
  <si>
    <t>GreenVision Acquisition Corp Warrant</t>
  </si>
  <si>
    <t>GROM</t>
  </si>
  <si>
    <t>Grom Social Enterprises Inc. Common Stock</t>
  </si>
  <si>
    <t>GROMW</t>
  </si>
  <si>
    <t>Grom Social Enterprises Inc. Warrants</t>
  </si>
  <si>
    <t>GROW</t>
  </si>
  <si>
    <t>U.S. Global Investors Inc. Class A Common Stock</t>
  </si>
  <si>
    <t>GRPH</t>
  </si>
  <si>
    <t>Graphite Bio Inc. Common Stock</t>
  </si>
  <si>
    <t>GRPN</t>
  </si>
  <si>
    <t>Groupon Inc. Common Stock</t>
  </si>
  <si>
    <t>GRTS</t>
  </si>
  <si>
    <t>Gritstone bio Inc. Common Stock</t>
  </si>
  <si>
    <t>GRTX</t>
  </si>
  <si>
    <t>Galera Therapeutics Inc. Common Stock</t>
  </si>
  <si>
    <t>GRUB</t>
  </si>
  <si>
    <t>Just Eat Takeaway.com N.V. American Depositary Shares</t>
  </si>
  <si>
    <t>GRVI</t>
  </si>
  <si>
    <t>Grove Inc. Common Stock</t>
  </si>
  <si>
    <t>GRVY</t>
  </si>
  <si>
    <t>GRAVITY Co. Ltd. American Depository Shares</t>
  </si>
  <si>
    <t>GRWG</t>
  </si>
  <si>
    <t>GrowGeneration Corp. Common Stock</t>
  </si>
  <si>
    <t>GSAQ</t>
  </si>
  <si>
    <t>Global Synergy Acquisition Corp. Class A Ordinary Shares</t>
  </si>
  <si>
    <t>GSAQU</t>
  </si>
  <si>
    <t>Global Synergy Acquisition Corp. Units</t>
  </si>
  <si>
    <t>GSAQW</t>
  </si>
  <si>
    <t>Global Synergy Acquisition Corp. Warrant</t>
  </si>
  <si>
    <t>GSBC</t>
  </si>
  <si>
    <t>Great Southern Bancorp Inc. Common Stock</t>
  </si>
  <si>
    <t>GSEV</t>
  </si>
  <si>
    <t>Gores Holdings VII Inc. Class A Common Stock</t>
  </si>
  <si>
    <t>GSEVU</t>
  </si>
  <si>
    <t>Gores Holdings VII Inc. Units</t>
  </si>
  <si>
    <t>GSEVW</t>
  </si>
  <si>
    <t>Gores Holdings VII Inc. Warrant</t>
  </si>
  <si>
    <t>GSHD</t>
  </si>
  <si>
    <t>Goosehead Insurance Inc. Class A Common Stock</t>
  </si>
  <si>
    <t>GSIT</t>
  </si>
  <si>
    <t>GSI Technology Common Stock</t>
  </si>
  <si>
    <t>GSKY</t>
  </si>
  <si>
    <t>GreenSky Inc. Class A Common Stock</t>
  </si>
  <si>
    <t>GSM</t>
  </si>
  <si>
    <t>Ferroglobe PLC Ordinary Shares</t>
  </si>
  <si>
    <t>GSMG</t>
  </si>
  <si>
    <t>Glory Star New Media Group Holdings Limited Ordinary Share</t>
  </si>
  <si>
    <t>GSMGW</t>
  </si>
  <si>
    <t>Glory Star New Media Group Holdings Limited Warrant expiring 2/13/2025</t>
  </si>
  <si>
    <t>GT</t>
  </si>
  <si>
    <t>The Goodyear Tire &amp; Rubber Company Common Stock</t>
  </si>
  <si>
    <t>GTBP</t>
  </si>
  <si>
    <t>GT Biopharma Inc. Common Stock</t>
  </si>
  <si>
    <t>GTEC</t>
  </si>
  <si>
    <t>Greenland Technologies Holding Corporation Ordinary Shares</t>
  </si>
  <si>
    <t>GTH</t>
  </si>
  <si>
    <t>Genetron Holdings Limited ADS</t>
  </si>
  <si>
    <t>GTHX</t>
  </si>
  <si>
    <t>G1 Therapeutics Inc. Common Stock</t>
  </si>
  <si>
    <t>GTIM</t>
  </si>
  <si>
    <t>Good Times Restaurants Inc. Common Stock</t>
  </si>
  <si>
    <t>GTPA</t>
  </si>
  <si>
    <t>Gores Technology Partners Inc. Class A Common Stock</t>
  </si>
  <si>
    <t>GTPAU</t>
  </si>
  <si>
    <t>Gores Technology Partners Inc. Units</t>
  </si>
  <si>
    <t>GTPAW</t>
  </si>
  <si>
    <t>Gores Technology Partners Inc. Warrant</t>
  </si>
  <si>
    <t>GTPB</t>
  </si>
  <si>
    <t>Gores Technology Partners II Inc. Class A Common Stock</t>
  </si>
  <si>
    <t>GTPBW</t>
  </si>
  <si>
    <t>Gores Technology Partners II Inc. Warrant</t>
  </si>
  <si>
    <t>GTX</t>
  </si>
  <si>
    <t>Garrett Motion Inc. Common Stock</t>
  </si>
  <si>
    <t>GTYH</t>
  </si>
  <si>
    <t>GTY Technology Holdings Inc. Common Stock</t>
  </si>
  <si>
    <t>GURE</t>
  </si>
  <si>
    <t>Gulf Resources Inc. (NV) Common Stock</t>
  </si>
  <si>
    <t>GVP</t>
  </si>
  <si>
    <t>GSE Systems Inc. Common Stock</t>
  </si>
  <si>
    <t>GWAC</t>
  </si>
  <si>
    <t>Good Works Acquisition Corp. Common Stock</t>
  </si>
  <si>
    <t>GWACW</t>
  </si>
  <si>
    <t>Good Works Acquisition Corp. Warrant</t>
  </si>
  <si>
    <t>GWGH</t>
  </si>
  <si>
    <t>GWG Holdings Inc Common Stock</t>
  </si>
  <si>
    <t>GWIIU</t>
  </si>
  <si>
    <t>Good Works II Acquisition Corp. Unit</t>
  </si>
  <si>
    <t>GWRS</t>
  </si>
  <si>
    <t>Global Water Resources Inc. Common Stock</t>
  </si>
  <si>
    <t>GXII</t>
  </si>
  <si>
    <t>GX Acquisition Corp. II Class A Common Stock</t>
  </si>
  <si>
    <t>GXIIU</t>
  </si>
  <si>
    <t>GX Acquisition Corp. II Unit</t>
  </si>
  <si>
    <t>GXIIW</t>
  </si>
  <si>
    <t>GX Acquisition Corp. II Warrant</t>
  </si>
  <si>
    <t>GYRO</t>
  </si>
  <si>
    <t>Gyrodyne LLC Common Stock</t>
  </si>
  <si>
    <t>HA</t>
  </si>
  <si>
    <t>Hawaiian Holdings Inc. Common Stock</t>
  </si>
  <si>
    <t>HAAC</t>
  </si>
  <si>
    <t>Health Assurance Acquisition Corp. Class A Common Stock</t>
  </si>
  <si>
    <t>HAACU</t>
  </si>
  <si>
    <t>Health Assurance Acquisition Corp. SAIL Securities</t>
  </si>
  <si>
    <t>HAACW</t>
  </si>
  <si>
    <t>Health Assurance Acquisition Corp. Warrants</t>
  </si>
  <si>
    <t>HAFC</t>
  </si>
  <si>
    <t>Hanmi Financial Corporation Common Stock</t>
  </si>
  <si>
    <t>HAIN</t>
  </si>
  <si>
    <t>Hain Celestial Group Inc. (The) Common Stock</t>
  </si>
  <si>
    <t>HALL</t>
  </si>
  <si>
    <t>Hallmark Financial Services Inc. Common Stock</t>
  </si>
  <si>
    <t>HALO</t>
  </si>
  <si>
    <t>Halozyme Therapeutics Inc. Common Stock</t>
  </si>
  <si>
    <t>HAPP</t>
  </si>
  <si>
    <t>Happiness Biotech Group Limited Ordinary Shares</t>
  </si>
  <si>
    <t>HARP</t>
  </si>
  <si>
    <t>Harpoon Therapeutics Inc. Common Stock</t>
  </si>
  <si>
    <t>HAS</t>
  </si>
  <si>
    <t>Hasbro Inc. Common Stock</t>
  </si>
  <si>
    <t>HAYN</t>
  </si>
  <si>
    <t>Haynes International Inc. Common Stock</t>
  </si>
  <si>
    <t>HBAN</t>
  </si>
  <si>
    <t>Huntington Bancshares Incorporated Common Stock</t>
  </si>
  <si>
    <t>HBANM</t>
  </si>
  <si>
    <t>Huntington Bancshares Incorporated Depositary Shares each representing a 1/1000th interest in a share of Huntington Series I Preferred Stock</t>
  </si>
  <si>
    <t>HBANN</t>
  </si>
  <si>
    <t>Huntington Bancshares Incorporated Depositary Shares each representing a 1/40th interest in a share of 5.875% Series C Non-Cumulative Perpetual Preferred Stock</t>
  </si>
  <si>
    <t>HBANP</t>
  </si>
  <si>
    <t>Huntington Bancshares Incorporated Depositary Shares 4.500% Series H Non-Cumulative Perpetual Preferred Stock</t>
  </si>
  <si>
    <t>HBCP</t>
  </si>
  <si>
    <t>Home Bancorp Inc. Common Stock</t>
  </si>
  <si>
    <t>HBIO</t>
  </si>
  <si>
    <t>Harvard Bioscience Inc. Common Stock</t>
  </si>
  <si>
    <t>HBMD</t>
  </si>
  <si>
    <t>Howard Bancorp Inc. Common Stock</t>
  </si>
  <si>
    <t>HBNC</t>
  </si>
  <si>
    <t>Horizon Bancorp Inc. Common Stock</t>
  </si>
  <si>
    <t>HBP</t>
  </si>
  <si>
    <t>Huttig Building Products Inc. Common Stock</t>
  </si>
  <si>
    <t>HBT</t>
  </si>
  <si>
    <t>HBT Financial Inc. Common Stock</t>
  </si>
  <si>
    <t>HCAQ</t>
  </si>
  <si>
    <t>HealthCor Catalio Acquisition Corp. Class A Ordinary Shares</t>
  </si>
  <si>
    <t>HCAR</t>
  </si>
  <si>
    <t>Healthcare Services Acquisition Corporation Class A Common Stock</t>
  </si>
  <si>
    <t>HCARU</t>
  </si>
  <si>
    <t>Healthcare Services Acquisition Corporation Unit</t>
  </si>
  <si>
    <t>HCARW</t>
  </si>
  <si>
    <t>Healthcare Services Acquisition Corporation Warrant</t>
  </si>
  <si>
    <t>HCAT</t>
  </si>
  <si>
    <t>Health Catalyst Inc Common Stock</t>
  </si>
  <si>
    <t>HCCC</t>
  </si>
  <si>
    <t>Healthcare Capital Corp. Class A common stock</t>
  </si>
  <si>
    <t>HCCCU</t>
  </si>
  <si>
    <t>Healthcare Capital Corp. Unit</t>
  </si>
  <si>
    <t>HCCCW</t>
  </si>
  <si>
    <t>Healthcare Capital Corp. Warrant</t>
  </si>
  <si>
    <t>HCCI</t>
  </si>
  <si>
    <t>Heritage-Crystal Clean Inc. Common Stock</t>
  </si>
  <si>
    <t>HCDI</t>
  </si>
  <si>
    <t>Harbor Custom Development Inc. Common Stock</t>
  </si>
  <si>
    <t>HCDIP</t>
  </si>
  <si>
    <t>Harbor Custom Development Inc. 8.0% Series A Cumulative Convertible Preferred Stock no par value</t>
  </si>
  <si>
    <t>HCDIW</t>
  </si>
  <si>
    <t>Harbor Custom Development Inc. Warrant</t>
  </si>
  <si>
    <t>HCIC</t>
  </si>
  <si>
    <t>Hennessy Capital Investment Corp. V Class A Common Stock</t>
  </si>
  <si>
    <t>HCICU</t>
  </si>
  <si>
    <t>Hennessy Capital Investment Corp. V Units</t>
  </si>
  <si>
    <t>HCICW</t>
  </si>
  <si>
    <t>Hennessy Capital Investment Corp. V Warrant</t>
  </si>
  <si>
    <t>HCII</t>
  </si>
  <si>
    <t>Hudson Executive Investment Corp. II Class A Common Stock</t>
  </si>
  <si>
    <t>HCKT</t>
  </si>
  <si>
    <t>Hackett Group Inc (The). Common Stock</t>
  </si>
  <si>
    <t>HCM</t>
  </si>
  <si>
    <t>HUTCHMED (China) Limited American Depositary Shares</t>
  </si>
  <si>
    <t>HCNE</t>
  </si>
  <si>
    <t>Jaws Hurricane Acquisition Corp. Class A Common Stock</t>
  </si>
  <si>
    <t>HCNEU</t>
  </si>
  <si>
    <t>Jaws Hurricane Acquisition Corp. Unit</t>
  </si>
  <si>
    <t>HCNEW</t>
  </si>
  <si>
    <t>Jaws Hurricane Acquisition Corp. Warrant</t>
  </si>
  <si>
    <t>HCSG</t>
  </si>
  <si>
    <t>Healthcare Services Group Inc. Common Stock</t>
  </si>
  <si>
    <t>HCWB</t>
  </si>
  <si>
    <t>HCW Biologics Inc. Common Stock</t>
  </si>
  <si>
    <t>HDSN</t>
  </si>
  <si>
    <t>Hudson Technologies Inc. Common Stock</t>
  </si>
  <si>
    <t>HEAR</t>
  </si>
  <si>
    <t>Turtle Beach Corporation Common Stock</t>
  </si>
  <si>
    <t>HEES</t>
  </si>
  <si>
    <t>H&amp;E Equipment Services Inc. Common Stock</t>
  </si>
  <si>
    <t>HELE</t>
  </si>
  <si>
    <t>Helen of Troy Limited Common Stock</t>
  </si>
  <si>
    <t>HEPA</t>
  </si>
  <si>
    <t>Hepion Pharmaceuticals Inc. Common Stock</t>
  </si>
  <si>
    <t>HEPS</t>
  </si>
  <si>
    <t>D-Market Electronic Services &amp; Trading American Depositary Shares</t>
  </si>
  <si>
    <t>HERA</t>
  </si>
  <si>
    <t>FTAC Hera Acquisition Corp. Class A Ordinary Shares</t>
  </si>
  <si>
    <t>HERAU</t>
  </si>
  <si>
    <t>FTAC Hera Acquisition Corp. Units</t>
  </si>
  <si>
    <t>HERAW</t>
  </si>
  <si>
    <t>FTAC Hera Acquisition Corp. Warrant</t>
  </si>
  <si>
    <t>HFBL</t>
  </si>
  <si>
    <t>Home Federal Bancorp Inc. of Louisiana Common StocK</t>
  </si>
  <si>
    <t>HFFG</t>
  </si>
  <si>
    <t>HF Foods Group Inc. Common Stock</t>
  </si>
  <si>
    <t>HFWA</t>
  </si>
  <si>
    <t>Heritage Financial Corporation Common Stock</t>
  </si>
  <si>
    <t>HGBL</t>
  </si>
  <si>
    <t>Heritage Global Inc. Common Stock</t>
  </si>
  <si>
    <t>HGEN</t>
  </si>
  <si>
    <t>Humanigen Inc. Common Stock</t>
  </si>
  <si>
    <t>HGSH</t>
  </si>
  <si>
    <t>China HGS Real Estate Inc. Common Stock</t>
  </si>
  <si>
    <t>HHR</t>
  </si>
  <si>
    <t>HeadHunter Group PLC American Depositary Shares</t>
  </si>
  <si>
    <t>HIBB</t>
  </si>
  <si>
    <t>Hibbett Inc. Common Stock</t>
  </si>
  <si>
    <t>HIFS</t>
  </si>
  <si>
    <t>Hingham Institution for Savings Common Stock</t>
  </si>
  <si>
    <t>HIHO</t>
  </si>
  <si>
    <t>Highway Holdings Limited Common Stock</t>
  </si>
  <si>
    <t>HIII</t>
  </si>
  <si>
    <t>Hudson Executive Investment Corp. III Class A Common Stock</t>
  </si>
  <si>
    <t>HIIIU</t>
  </si>
  <si>
    <t>Hudson Executive Investment Corp. III Unit</t>
  </si>
  <si>
    <t>HIIIW</t>
  </si>
  <si>
    <t>Hudson Executive Investment Corp. III Warrant</t>
  </si>
  <si>
    <t>HIMX</t>
  </si>
  <si>
    <t>Himax Technologies Inc. American Depositary Shares</t>
  </si>
  <si>
    <t>HITI</t>
  </si>
  <si>
    <t>High Tide Inc. Common Shares</t>
  </si>
  <si>
    <t>HJLI</t>
  </si>
  <si>
    <t>Hancock Jaffe Laboratories Inc. Common Stock</t>
  </si>
  <si>
    <t>HJLIW</t>
  </si>
  <si>
    <t>Hancock Jaffe Laboratories Inc. Warrants</t>
  </si>
  <si>
    <t>HLAH</t>
  </si>
  <si>
    <t>Hamilton Lane Alliance Holdings I Inc. Class A Common Stock</t>
  </si>
  <si>
    <t>HLAHU</t>
  </si>
  <si>
    <t>Hamilton Lane Alliance Holdings I Inc. Unit</t>
  </si>
  <si>
    <t>HLAHW</t>
  </si>
  <si>
    <t>Hamilton Lane Alliance Holdings I Inc. Warrant</t>
  </si>
  <si>
    <t>HLG</t>
  </si>
  <si>
    <t>Hailiang Education Group Inc. American Depositary Shares</t>
  </si>
  <si>
    <t>HLIO</t>
  </si>
  <si>
    <t>Helios Technologies Inc. Common Stock</t>
  </si>
  <si>
    <t>HLIT</t>
  </si>
  <si>
    <t>Harmonic Inc. Common Stock</t>
  </si>
  <si>
    <t>HLMN</t>
  </si>
  <si>
    <t>Hillman Solutions Corp. Common Stock</t>
  </si>
  <si>
    <t>HLMNW</t>
  </si>
  <si>
    <t>Hillman Solutions Corp. Warrant</t>
  </si>
  <si>
    <t>HLNE</t>
  </si>
  <si>
    <t>Hamilton Lane Incorporated Class A Common Stock</t>
  </si>
  <si>
    <t>HLXA</t>
  </si>
  <si>
    <t>Helix Acquisition Corp. Class A Ordinary Shares</t>
  </si>
  <si>
    <t>HMCO</t>
  </si>
  <si>
    <t>HumanCo Acquisition Corp. Class A Common Stock</t>
  </si>
  <si>
    <t>HMCOU</t>
  </si>
  <si>
    <t>HumanCo Acquisition Corp. Unit</t>
  </si>
  <si>
    <t>HMCOW</t>
  </si>
  <si>
    <t>HumanCo Acquisition Corp. Warrant</t>
  </si>
  <si>
    <t>HMHC</t>
  </si>
  <si>
    <t>Houghton Mifflin Harcourt Company Common Stock</t>
  </si>
  <si>
    <t>HMNF</t>
  </si>
  <si>
    <t>HMN Financial Inc. Common Stock</t>
  </si>
  <si>
    <t>HMPT</t>
  </si>
  <si>
    <t>Home Point Capital Inc Common Stock</t>
  </si>
  <si>
    <t>HMST</t>
  </si>
  <si>
    <t>HomeStreet Inc. Common Stock</t>
  </si>
  <si>
    <t>HMTV</t>
  </si>
  <si>
    <t>Hemisphere Media Group Inc. Class A Common Stock</t>
  </si>
  <si>
    <t>HNNA</t>
  </si>
  <si>
    <t>Hennessy Advisors Inc. Common Stock</t>
  </si>
  <si>
    <t>HNRG</t>
  </si>
  <si>
    <t>Hallador Energy Company Common Stock</t>
  </si>
  <si>
    <t>HNST</t>
  </si>
  <si>
    <t>The Honest Company Inc. Common Stock</t>
  </si>
  <si>
    <t>HOFT</t>
  </si>
  <si>
    <t>Hooker Furniture Corporation Common Stock</t>
  </si>
  <si>
    <t>HOFV</t>
  </si>
  <si>
    <t>Hall of Fame Resort &amp; Entertainment Company Common Stock</t>
  </si>
  <si>
    <t>HOFVW</t>
  </si>
  <si>
    <t>Hall of Fame Resort &amp;amp; Entertainment Company Warrant</t>
  </si>
  <si>
    <t>HOLI</t>
  </si>
  <si>
    <t>Hollysys Automation Technologies Ltd. Common Shares (British Virgin Islands)</t>
  </si>
  <si>
    <t>HOLX</t>
  </si>
  <si>
    <t>Hologic Inc. Common Stock</t>
  </si>
  <si>
    <t>HOMB</t>
  </si>
  <si>
    <t>Home BancShares Inc. Common Stock</t>
  </si>
  <si>
    <t>HON</t>
  </si>
  <si>
    <t>Honeywell International Inc. Common Stock</t>
  </si>
  <si>
    <t>HONE</t>
  </si>
  <si>
    <t>HarborOne Bancorp Inc. Common Stock</t>
  </si>
  <si>
    <t>HOOD</t>
  </si>
  <si>
    <t>Robinhood Markets Inc. Class A Common Stock</t>
  </si>
  <si>
    <t>HOOK</t>
  </si>
  <si>
    <t>HOOKIPA Pharma Inc. Common Stock</t>
  </si>
  <si>
    <t>HOPE</t>
  </si>
  <si>
    <t>Hope Bancorp Inc. Common Stock</t>
  </si>
  <si>
    <t>HOTH</t>
  </si>
  <si>
    <t>Hoth Therapeutics Inc. Common Stock</t>
  </si>
  <si>
    <t>HOVNP</t>
  </si>
  <si>
    <t>Hovnanian Enterprises Inc Dep Shr Srs A Pfd</t>
  </si>
  <si>
    <t>HOWL</t>
  </si>
  <si>
    <t>Werewolf Therapeutics Inc. Common Stock</t>
  </si>
  <si>
    <t>HPK</t>
  </si>
  <si>
    <t>HighPeak Energy Inc. Common Stock</t>
  </si>
  <si>
    <t>HQI</t>
  </si>
  <si>
    <t>HireQuest Inc. Common Stock (DE)</t>
  </si>
  <si>
    <t>HQY</t>
  </si>
  <si>
    <t>HealthEquity Inc. Common Stock</t>
  </si>
  <si>
    <t>HRMY</t>
  </si>
  <si>
    <t>Harmony Biosciences Holdings Inc. Common Stock</t>
  </si>
  <si>
    <t>HROW</t>
  </si>
  <si>
    <t>Harrow Health Inc. Common Stock</t>
  </si>
  <si>
    <t>HROWL</t>
  </si>
  <si>
    <t>Harrow Health Inc. 8.625% Senior Notes due 2026</t>
  </si>
  <si>
    <t>HRTX</t>
  </si>
  <si>
    <t>Heron Therapeutics Inc. Common Stock</t>
  </si>
  <si>
    <t>HRZN</t>
  </si>
  <si>
    <t>Horizon Technology Finance Corporation Common Stock</t>
  </si>
  <si>
    <t>HSAQ</t>
  </si>
  <si>
    <t>Health Sciences Acquisitions Corporation 2 Ordinary Shares</t>
  </si>
  <si>
    <t>HSDT</t>
  </si>
  <si>
    <t>Helius Medical Technologies Inc. Class A Common Stock (DE)</t>
  </si>
  <si>
    <t>HSIC</t>
  </si>
  <si>
    <t>Henry Schein Inc. Common Stock</t>
  </si>
  <si>
    <t>HSII</t>
  </si>
  <si>
    <t>Heidrick &amp; Struggles International Inc. Common Stock</t>
  </si>
  <si>
    <t>HSKA</t>
  </si>
  <si>
    <t>Heska Corporation Common Stock</t>
  </si>
  <si>
    <t>HSON</t>
  </si>
  <si>
    <t>Hudson Global Inc. Common Stock</t>
  </si>
  <si>
    <t>HST</t>
  </si>
  <si>
    <t>Host Hotels &amp; Resorts Inc. Common Stock</t>
  </si>
  <si>
    <t>HSTM</t>
  </si>
  <si>
    <t>HealthStream Inc. Common Stock</t>
  </si>
  <si>
    <t>HSTO</t>
  </si>
  <si>
    <t>Histogen Inc. Common Stock</t>
  </si>
  <si>
    <t>HTBI</t>
  </si>
  <si>
    <t>HomeTrust Bancshares Inc. Common Stock</t>
  </si>
  <si>
    <t>HTBK</t>
  </si>
  <si>
    <t>Heritage Commerce Corp Common Stock</t>
  </si>
  <si>
    <t>HTBX</t>
  </si>
  <si>
    <t>Heat Biologics Inc. Common Stock</t>
  </si>
  <si>
    <t>HTGM</t>
  </si>
  <si>
    <t>HTG Molecular Diagnostics Inc. Common Stock</t>
  </si>
  <si>
    <t>HTHT</t>
  </si>
  <si>
    <t>Huazhu Group Limited American Depositary Shares</t>
  </si>
  <si>
    <t>HTIA</t>
  </si>
  <si>
    <t>Healthcare Trust Inc. 7.375% Series A Cumulative Redeemable Perpetual Preferred Stock</t>
  </si>
  <si>
    <t>HTLD</t>
  </si>
  <si>
    <t>Heartland Express Inc. Common Stock</t>
  </si>
  <si>
    <t>HTLF</t>
  </si>
  <si>
    <t>Heartland Financial USA Inc. Common Stock</t>
  </si>
  <si>
    <t>HTLFP</t>
  </si>
  <si>
    <t>Heartland Financial USA Inc. Depositary Shares each representing a 1/400th ownership interest in a share of 7.00% Fixed-Rate Reset Non-Cumulative Perpetual Preferred Stock Series E</t>
  </si>
  <si>
    <t>HTOO</t>
  </si>
  <si>
    <t>Fusion Fuel Green PLC Class A Ordinary Shares</t>
  </si>
  <si>
    <t>HTOOW</t>
  </si>
  <si>
    <t>Fusion Fuel Green PLC Warrant</t>
  </si>
  <si>
    <t>HUBG</t>
  </si>
  <si>
    <t>Hub Group Inc. Class A Common Stock</t>
  </si>
  <si>
    <t>HUDI</t>
  </si>
  <si>
    <t>Huadi International Group Co. Ltd. Ordinary Shares</t>
  </si>
  <si>
    <t>HUGE</t>
  </si>
  <si>
    <t>FSD Pharma Inc. Class B Subordinate Voting Shares</t>
  </si>
  <si>
    <t>HUIZ</t>
  </si>
  <si>
    <t>Huize Holding Limited American Depositary Shares</t>
  </si>
  <si>
    <t>HURC</t>
  </si>
  <si>
    <t>Hurco Companies Inc. Common Stock</t>
  </si>
  <si>
    <t>HURN</t>
  </si>
  <si>
    <t>Huron Consulting Group Inc. Common Stock</t>
  </si>
  <si>
    <t>HUSN</t>
  </si>
  <si>
    <t>Hudson Capital Inc. Ordinary Shares</t>
  </si>
  <si>
    <t>HUT</t>
  </si>
  <si>
    <t>Hut 8 Mining Corp. Common Shares</t>
  </si>
  <si>
    <t>HVBC</t>
  </si>
  <si>
    <t>HV Bancorp Inc. Common Stock</t>
  </si>
  <si>
    <t>HVBT</t>
  </si>
  <si>
    <t>Hive Blockchain Technologies Ltd. Common Shares</t>
  </si>
  <si>
    <t>HWBK</t>
  </si>
  <si>
    <t>Hawthorn Bancshares Inc. Common Stock</t>
  </si>
  <si>
    <t>HWC</t>
  </si>
  <si>
    <t>Hancock Whitney Corporation Common Stock</t>
  </si>
  <si>
    <t>HWCPZ</t>
  </si>
  <si>
    <t>Hancock Whitney Corporation 6.25% Subordinated Notes due 2060</t>
  </si>
  <si>
    <t>HWELU</t>
  </si>
  <si>
    <t>Healthwell Acquisition Corp. I Unit</t>
  </si>
  <si>
    <t>HWKN</t>
  </si>
  <si>
    <t>Hawkins Inc. Common Stock</t>
  </si>
  <si>
    <t>HX</t>
  </si>
  <si>
    <t>Xiaobai Maimai Inc. ADR</t>
  </si>
  <si>
    <t>HYAC</t>
  </si>
  <si>
    <t>Haymaker Acquisition Corp. III Class A common stock</t>
  </si>
  <si>
    <t>HYACU</t>
  </si>
  <si>
    <t>Haymaker Acquisition Corp. III Unit</t>
  </si>
  <si>
    <t>HYACW</t>
  </si>
  <si>
    <t>Haymaker Acquisition Corp. III Warrant</t>
  </si>
  <si>
    <t>HYFM</t>
  </si>
  <si>
    <t>Hydrofarm Holdings Group Inc. Common Stock</t>
  </si>
  <si>
    <t>HYMC</t>
  </si>
  <si>
    <t>Hycroft Mining Holding Corporation Class A Common Stock</t>
  </si>
  <si>
    <t>HYMCL</t>
  </si>
  <si>
    <t>Hycroft Mining Holding Corporation Warrants</t>
  </si>
  <si>
    <t>HYMCW</t>
  </si>
  <si>
    <t>Hycroft Mining Holding Corporation  Warrant</t>
  </si>
  <si>
    <t>HYMCZ</t>
  </si>
  <si>
    <t>Hycroft Mining Holding Corporation Warrant</t>
  </si>
  <si>
    <t>HYRE</t>
  </si>
  <si>
    <t>HyreCar Inc. Common Stock</t>
  </si>
  <si>
    <t>HYW</t>
  </si>
  <si>
    <t>Hywin Holdings Ltd. American Depositary Shares</t>
  </si>
  <si>
    <t>HYZN</t>
  </si>
  <si>
    <t>Hyzon Motors Inc. Class A Common Stock</t>
  </si>
  <si>
    <t>HYZNW</t>
  </si>
  <si>
    <t>Hyzon Motors Inc. Warrants</t>
  </si>
  <si>
    <t>HZNP</t>
  </si>
  <si>
    <t>Horizon Therapeutics Public Limited Company Ordinary Shares</t>
  </si>
  <si>
    <t>IAC</t>
  </si>
  <si>
    <t>IAC/InterActiveCorp Common Stock</t>
  </si>
  <si>
    <t>IART</t>
  </si>
  <si>
    <t>Integra LifeSciences Holdings Corporation Common Stock</t>
  </si>
  <si>
    <t>IAS</t>
  </si>
  <si>
    <t>Integral Ad Science Holding Corp. Common Stock</t>
  </si>
  <si>
    <t>IBCP</t>
  </si>
  <si>
    <t>Independent Bank Corporation Common Stock</t>
  </si>
  <si>
    <t>IBEX</t>
  </si>
  <si>
    <t>IBEX Limited Common Shares</t>
  </si>
  <si>
    <t>IBKR</t>
  </si>
  <si>
    <t>Interactive Brokers Group Inc. Class A Common Stock</t>
  </si>
  <si>
    <t>IBOC</t>
  </si>
  <si>
    <t>International Bancshares Corporation Common Stock</t>
  </si>
  <si>
    <t>IBRX</t>
  </si>
  <si>
    <t>ImmunityBio Inc. Common Stock</t>
  </si>
  <si>
    <t>IBTX</t>
  </si>
  <si>
    <t>Independent Bank Group Inc Common Stock</t>
  </si>
  <si>
    <t>ICAD</t>
  </si>
  <si>
    <t>iCAD Inc. Common Stock</t>
  </si>
  <si>
    <t>ICBK</t>
  </si>
  <si>
    <t>County Bancorp Inc. Common Stock</t>
  </si>
  <si>
    <t>ICCC</t>
  </si>
  <si>
    <t>ImmuCell Corporation Common Stock</t>
  </si>
  <si>
    <t>ICCH</t>
  </si>
  <si>
    <t>ICC Holdings Inc. Common Stock</t>
  </si>
  <si>
    <t>ICFI</t>
  </si>
  <si>
    <t>ICF International Inc. Common Stock</t>
  </si>
  <si>
    <t>ICHR</t>
  </si>
  <si>
    <t>Ichor Holdings Ordinary Shares</t>
  </si>
  <si>
    <t>ICLK</t>
  </si>
  <si>
    <t>iClick Interactive Asia Group Limited American Depositary Shares</t>
  </si>
  <si>
    <t>ICLR</t>
  </si>
  <si>
    <t>ICON plc Ordinary Shares</t>
  </si>
  <si>
    <t>ICMB</t>
  </si>
  <si>
    <t>Investcorp Credit Management BDC Inc. Common Stock</t>
  </si>
  <si>
    <t>ICPT</t>
  </si>
  <si>
    <t>Intercept Pharmaceuticals Inc. Common Stock</t>
  </si>
  <si>
    <t>ICUI</t>
  </si>
  <si>
    <t>ICU Medical Inc. Common Stock</t>
  </si>
  <si>
    <t>ICVX</t>
  </si>
  <si>
    <t>Icosavax Inc. Common Stock</t>
  </si>
  <si>
    <t>IDBA</t>
  </si>
  <si>
    <t>IDEX Biometrics ASA American Depositary Shares</t>
  </si>
  <si>
    <t>IDCC</t>
  </si>
  <si>
    <t>InterDigital Inc. Common Stock</t>
  </si>
  <si>
    <t>IDEX</t>
  </si>
  <si>
    <t>Ideanomics Inc. Common Stock</t>
  </si>
  <si>
    <t>IDN</t>
  </si>
  <si>
    <t>Intellicheck Inc. Common Stock</t>
  </si>
  <si>
    <t>IDRA</t>
  </si>
  <si>
    <t>Idera Pharmaceuticals Inc. Common Stock</t>
  </si>
  <si>
    <t>IDXX</t>
  </si>
  <si>
    <t>IDEXX Laboratories Inc. Common Stock</t>
  </si>
  <si>
    <t>IDYA</t>
  </si>
  <si>
    <t>IDEAYA Biosciences Inc. Common Stock</t>
  </si>
  <si>
    <t>IEA</t>
  </si>
  <si>
    <t>Infrastructure and Energy Alternatives Inc. Common Stock</t>
  </si>
  <si>
    <t>IEAWW</t>
  </si>
  <si>
    <t>Infrastructure and Energy Alternatives Inc. Warrant</t>
  </si>
  <si>
    <t>IEC</t>
  </si>
  <si>
    <t>IEC Electronics Corp. Common Stock</t>
  </si>
  <si>
    <t>IEP</t>
  </si>
  <si>
    <t>Icahn Enterprises L.P. Common Stock</t>
  </si>
  <si>
    <t>IESC</t>
  </si>
  <si>
    <t>IES Holdings Inc. Common Stock</t>
  </si>
  <si>
    <t>IFBD</t>
  </si>
  <si>
    <t>Infobird Co. Ltd Ordinary Shares</t>
  </si>
  <si>
    <t>IFMK</t>
  </si>
  <si>
    <t>iFresh Inc. Common Stock</t>
  </si>
  <si>
    <t>IFRX</t>
  </si>
  <si>
    <t>InflaRx N.V. Common Stock</t>
  </si>
  <si>
    <t>IGAC</t>
  </si>
  <si>
    <t>IG Acquisition Corp. Class A Common Stock</t>
  </si>
  <si>
    <t>IGACU</t>
  </si>
  <si>
    <t>IG Acquisition Corp. Unit</t>
  </si>
  <si>
    <t>IGACW</t>
  </si>
  <si>
    <t>IG Acquisition Corp. Warrant</t>
  </si>
  <si>
    <t>IGIC</t>
  </si>
  <si>
    <t>International General Insurance Holdings Ltd. Ordinary Share</t>
  </si>
  <si>
    <t>IGMS</t>
  </si>
  <si>
    <t>IGM Biosciences Inc. Common Stock</t>
  </si>
  <si>
    <t>IGNYU</t>
  </si>
  <si>
    <t>Ignyte Acquisition Corp. Unit</t>
  </si>
  <si>
    <t>IHRT</t>
  </si>
  <si>
    <t>iHeartMedia Inc. Class A Common Stock</t>
  </si>
  <si>
    <t>III</t>
  </si>
  <si>
    <t>Information Services Group Inc. Information Services Group Inc. Common Stock</t>
  </si>
  <si>
    <t>IIII</t>
  </si>
  <si>
    <t>INSU Acquisition Corp. III Class A Common Stock</t>
  </si>
  <si>
    <t>IIIIW</t>
  </si>
  <si>
    <t>INSU Acquisition Corp. III Warrant</t>
  </si>
  <si>
    <t>IIIV</t>
  </si>
  <si>
    <t>i3 Verticals Inc. Class A Common Stock</t>
  </si>
  <si>
    <t>IIN</t>
  </si>
  <si>
    <t>Intricon Corporation Common Stock</t>
  </si>
  <si>
    <t>IINN</t>
  </si>
  <si>
    <t>Inspira Technologies Oxy B.H.N. Ltd. Ordinary Shares</t>
  </si>
  <si>
    <t>IINNW</t>
  </si>
  <si>
    <t>Inspira Technologies Oxy B.H.N. Ltd. Warrant</t>
  </si>
  <si>
    <t>IIVI</t>
  </si>
  <si>
    <t>II-VI Incorporated Common Stock</t>
  </si>
  <si>
    <t>IIVIP</t>
  </si>
  <si>
    <t>II-VI Incorporated 6.00% Series A Mandatory Convertible Preferred Stock</t>
  </si>
  <si>
    <t>IKNA</t>
  </si>
  <si>
    <t>Ikena Oncology Inc. Common Stock</t>
  </si>
  <si>
    <t>IKNX</t>
  </si>
  <si>
    <t>Ikonics Corporation</t>
  </si>
  <si>
    <t>IKT</t>
  </si>
  <si>
    <t>Inhibikase Therapeutics Inc. Common Stock</t>
  </si>
  <si>
    <t>ILMN</t>
  </si>
  <si>
    <t>Illumina Inc. Common Stock</t>
  </si>
  <si>
    <t>ILPT</t>
  </si>
  <si>
    <t>Industrial Logistics Properties Trust Common Shares of Beneficial Interest</t>
  </si>
  <si>
    <t>IMAB</t>
  </si>
  <si>
    <t>I-MAB American Depositary Shares</t>
  </si>
  <si>
    <t>IMAC</t>
  </si>
  <si>
    <t>IMAC Holdings Inc. Common Stock</t>
  </si>
  <si>
    <t>IMACW</t>
  </si>
  <si>
    <t>IMAC Holdings Inc. Warrant</t>
  </si>
  <si>
    <t>IMAQU</t>
  </si>
  <si>
    <t>International Media Acquisition Corp. Unit</t>
  </si>
  <si>
    <t>IMBI</t>
  </si>
  <si>
    <t>iMedia Brands Inc. Class A Common Stock</t>
  </si>
  <si>
    <t>IMCC</t>
  </si>
  <si>
    <t>IM Cannabis Corp. Common Shares</t>
  </si>
  <si>
    <t>IMCR</t>
  </si>
  <si>
    <t>Immunocore Holdings plc American Depositary Shares</t>
  </si>
  <si>
    <t>IMGN</t>
  </si>
  <si>
    <t>ImmunoGen Inc. Common Stock</t>
  </si>
  <si>
    <t>IMGO</t>
  </si>
  <si>
    <t>Imago BioSciences Inc. Common stock</t>
  </si>
  <si>
    <t>IMKTA</t>
  </si>
  <si>
    <t>Ingles Markets Incorporated Class A Common Stock</t>
  </si>
  <si>
    <t>IMMP</t>
  </si>
  <si>
    <t>Immutep Limited American Depositary Shares</t>
  </si>
  <si>
    <t>IMMR</t>
  </si>
  <si>
    <t>Immersion Corporation Common Stock</t>
  </si>
  <si>
    <t>IMNM</t>
  </si>
  <si>
    <t>Immunome Inc. Common Stock</t>
  </si>
  <si>
    <t>IMOS</t>
  </si>
  <si>
    <t>ChipMOS TECHNOLOGIES INC. American Depositary Shares</t>
  </si>
  <si>
    <t>IMPL</t>
  </si>
  <si>
    <t>Impel NeuroPharma Inc. Common Stock</t>
  </si>
  <si>
    <t>IMRA</t>
  </si>
  <si>
    <t>IMARA Inc. Common Stock</t>
  </si>
  <si>
    <t>IMRX</t>
  </si>
  <si>
    <t>Immuneering Corporation Class A Common Stock</t>
  </si>
  <si>
    <t>IMTE</t>
  </si>
  <si>
    <t>Integrated Media Technology Limited Ordinary Shares</t>
  </si>
  <si>
    <t>IMTX</t>
  </si>
  <si>
    <t>Immatics N.V. Ordinary Shares</t>
  </si>
  <si>
    <t>IMUX</t>
  </si>
  <si>
    <t>Immunic Inc. Common Stock</t>
  </si>
  <si>
    <t>IMV</t>
  </si>
  <si>
    <t>IMV Inc. Common Shares</t>
  </si>
  <si>
    <t>IMVT</t>
  </si>
  <si>
    <t>Immunovant Inc. Common Stock</t>
  </si>
  <si>
    <t>IMXI</t>
  </si>
  <si>
    <t>International Money Express Inc. Common Stock</t>
  </si>
  <si>
    <t>INAB</t>
  </si>
  <si>
    <t>IN8bio Inc. Common Stock</t>
  </si>
  <si>
    <t>INBK</t>
  </si>
  <si>
    <t>First Internet Bancorp Common Stock</t>
  </si>
  <si>
    <t>INBKZ</t>
  </si>
  <si>
    <t>First Internet Bancorp 6.0% Fixed-to-Floating Rate Subordinated Notes Due 2029</t>
  </si>
  <si>
    <t>INBX</t>
  </si>
  <si>
    <t>Inhibrx Inc. Common Stock</t>
  </si>
  <si>
    <t>INCY</t>
  </si>
  <si>
    <t>Incyte Corp. Common Stock</t>
  </si>
  <si>
    <t>INDB</t>
  </si>
  <si>
    <t>Independent Bank Corp. Common Stock</t>
  </si>
  <si>
    <t>INDI</t>
  </si>
  <si>
    <t>indie Semiconductor Inc. Class A Common Stock</t>
  </si>
  <si>
    <t>INDIW</t>
  </si>
  <si>
    <t>indie Semiconductor Inc. Warrant</t>
  </si>
  <si>
    <t>INDP</t>
  </si>
  <si>
    <t>Indaptus Therapeutics Inc. Common Stock</t>
  </si>
  <si>
    <t>INDT</t>
  </si>
  <si>
    <t>INDUS Realty Trust Inc. (MD) Common Stock</t>
  </si>
  <si>
    <t>INFI</t>
  </si>
  <si>
    <t>Infinity Pharmaceuticals Inc. Common Stock</t>
  </si>
  <si>
    <t>INFN</t>
  </si>
  <si>
    <t>Infinera Corporation Common Stock</t>
  </si>
  <si>
    <t>INGN</t>
  </si>
  <si>
    <t>Inogen Inc Common Stock</t>
  </si>
  <si>
    <t>INKA</t>
  </si>
  <si>
    <t>KludeIn I Acquisition Corp. Class A Common Stock</t>
  </si>
  <si>
    <t>INKAU</t>
  </si>
  <si>
    <t>KludeIn I Acquisition Corp. Unit</t>
  </si>
  <si>
    <t>INKAW</t>
  </si>
  <si>
    <t>KludeIn I Acquisition Corp. Warrant</t>
  </si>
  <si>
    <t>INM</t>
  </si>
  <si>
    <t>InMed Pharmaceuticals Inc. Common Shares</t>
  </si>
  <si>
    <t>INMB</t>
  </si>
  <si>
    <t>INmune Bio Inc. Common stock</t>
  </si>
  <si>
    <t>INMD</t>
  </si>
  <si>
    <t>InMode Ltd. Ordinary Shares</t>
  </si>
  <si>
    <t>INNV</t>
  </si>
  <si>
    <t>InnovAge Holding Corp. Common Stock</t>
  </si>
  <si>
    <t>INO</t>
  </si>
  <si>
    <t>Inovio Pharmaceuticals Inc. Common Stock</t>
  </si>
  <si>
    <t>INOD</t>
  </si>
  <si>
    <t>Innodata Inc. Common Stock</t>
  </si>
  <si>
    <t>INOV</t>
  </si>
  <si>
    <t>Inovalon Holdings Inc. Class A Common Stock</t>
  </si>
  <si>
    <t>INPX</t>
  </si>
  <si>
    <t>Inpixon Common Stock</t>
  </si>
  <si>
    <t>INSE</t>
  </si>
  <si>
    <t>Inspired Entertainment Inc. Common Stock</t>
  </si>
  <si>
    <t>INSG</t>
  </si>
  <si>
    <t>Inseego Corp. Common Stock</t>
  </si>
  <si>
    <t>INSM</t>
  </si>
  <si>
    <t>Insmed Inc. Common Stock</t>
  </si>
  <si>
    <t>INTA</t>
  </si>
  <si>
    <t>Intapp Inc. Common Stock</t>
  </si>
  <si>
    <t>INTC</t>
  </si>
  <si>
    <t>Intel Corporation Common Stock</t>
  </si>
  <si>
    <t>INTG</t>
  </si>
  <si>
    <t>Intergroup Corporation (The) Common Stock</t>
  </si>
  <si>
    <t>INTU</t>
  </si>
  <si>
    <t>Intuit Inc. Common Stock</t>
  </si>
  <si>
    <t>INTZ</t>
  </si>
  <si>
    <t>Intrusion Inc. Common Stock</t>
  </si>
  <si>
    <t>INVA</t>
  </si>
  <si>
    <t>Innoviva Inc. Common Stock</t>
  </si>
  <si>
    <t>INVE</t>
  </si>
  <si>
    <t>Identiv Inc. Common Stock</t>
  </si>
  <si>
    <t>INVO</t>
  </si>
  <si>
    <t>INVO BioScience Inc. Common Stock</t>
  </si>
  <si>
    <t>INVZ</t>
  </si>
  <si>
    <t>Innoviz Technologies Ltd. Ordinary shares</t>
  </si>
  <si>
    <t>INVZW</t>
  </si>
  <si>
    <t>Innoviz Technologies Ltd. Warrant</t>
  </si>
  <si>
    <t>INZY</t>
  </si>
  <si>
    <t>Inozyme Pharma Inc. Common Stock</t>
  </si>
  <si>
    <t>IONS</t>
  </si>
  <si>
    <t>Ionis Pharmaceuticals Inc. Common Stock</t>
  </si>
  <si>
    <t>IOSP</t>
  </si>
  <si>
    <t>Innospec Inc. Common Stock</t>
  </si>
  <si>
    <t>IOVA</t>
  </si>
  <si>
    <t>Iovance Biotherapeutics Inc. Common Stock</t>
  </si>
  <si>
    <t>IPA</t>
  </si>
  <si>
    <t>ImmunoPrecise Antibodies Ltd. Common Stock</t>
  </si>
  <si>
    <t>IPAR</t>
  </si>
  <si>
    <t>Inter Parfums Inc. Common Stock</t>
  </si>
  <si>
    <t>IPDN</t>
  </si>
  <si>
    <t>Professional Diversity Network Inc. Common Stock</t>
  </si>
  <si>
    <t>IPGP</t>
  </si>
  <si>
    <t>IPG Photonics Corporation Common Stock</t>
  </si>
  <si>
    <t>IPHA</t>
  </si>
  <si>
    <t>Innate Pharma S.A. ADS</t>
  </si>
  <si>
    <t>IPLDP</t>
  </si>
  <si>
    <t>Interstate Power &amp; Light Company Perp Prd Ser D</t>
  </si>
  <si>
    <t>IPSC</t>
  </si>
  <si>
    <t>Century Therapeutics Inc. Common Stock</t>
  </si>
  <si>
    <t>IPVIU</t>
  </si>
  <si>
    <t>InterPrivate IV InfraTech Partners Inc. Units</t>
  </si>
  <si>
    <t>IPVIW</t>
  </si>
  <si>
    <t>InterPrivate IV InfraTech Partners Inc. Warrant</t>
  </si>
  <si>
    <t>IPW</t>
  </si>
  <si>
    <t>iPower Inc. Common Stock</t>
  </si>
  <si>
    <t>IPWR</t>
  </si>
  <si>
    <t>Ideal Power Inc. Common Stock</t>
  </si>
  <si>
    <t>IQ</t>
  </si>
  <si>
    <t>iQIYI Inc. American Depositary Shares</t>
  </si>
  <si>
    <t>IRBT</t>
  </si>
  <si>
    <t>iRobot Corporation Common Stock</t>
  </si>
  <si>
    <t>IRCP</t>
  </si>
  <si>
    <t>IRSA Propiedades Comerciales S.A. American Depositary Shares</t>
  </si>
  <si>
    <t>IRDM</t>
  </si>
  <si>
    <t>Iridium Communications Inc Common Stock</t>
  </si>
  <si>
    <t>IRIX</t>
  </si>
  <si>
    <t>IRIDEX Corporation Common Stock</t>
  </si>
  <si>
    <t>IRMD</t>
  </si>
  <si>
    <t>iRadimed Corporation Common Stock</t>
  </si>
  <si>
    <t>IROQ</t>
  </si>
  <si>
    <t>IF Bancorp Inc. Common Stock</t>
  </si>
  <si>
    <t>IRTC</t>
  </si>
  <si>
    <t>iRhythm Technologies Inc. Common Stock</t>
  </si>
  <si>
    <t>IRWD</t>
  </si>
  <si>
    <t>Ironwood Pharmaceuticals Inc. Class A Common Stock</t>
  </si>
  <si>
    <t>ISAA</t>
  </si>
  <si>
    <t>Iron Spark I Inc. Class A Common Stock</t>
  </si>
  <si>
    <t>ISBC</t>
  </si>
  <si>
    <t>Investors Bancorp Inc. Common Stock</t>
  </si>
  <si>
    <t>ISEE</t>
  </si>
  <si>
    <t>IVERIC bio Inc. Common Stock</t>
  </si>
  <si>
    <t>ISIG</t>
  </si>
  <si>
    <t>Insignia Systems Inc. Common Stock</t>
  </si>
  <si>
    <t>ISLE</t>
  </si>
  <si>
    <t>Isleworth Healthcare Acquisition Corporation Common stock</t>
  </si>
  <si>
    <t>ISLEW</t>
  </si>
  <si>
    <t>Isleworth Healthcare Acquisition Corporation Warrant</t>
  </si>
  <si>
    <t>ISPC</t>
  </si>
  <si>
    <t>iSpecimen Inc. Common Stock</t>
  </si>
  <si>
    <t>ISRG</t>
  </si>
  <si>
    <t>Intuitive Surgical Inc. Common Stock</t>
  </si>
  <si>
    <t>ISSC</t>
  </si>
  <si>
    <t>Innovative Solutions and Support Inc. Common Stock</t>
  </si>
  <si>
    <t>ISTR</t>
  </si>
  <si>
    <t>Investar Holding Corporation Common Stock</t>
  </si>
  <si>
    <t>ISUN</t>
  </si>
  <si>
    <t>iSun Inc. Common Stock</t>
  </si>
  <si>
    <t>ITAC</t>
  </si>
  <si>
    <t>Industrial Tech Acquisitions Inc. Class A common stock</t>
  </si>
  <si>
    <t>ITACU</t>
  </si>
  <si>
    <t>Industrial Tech Acquisitions Inc. Unit</t>
  </si>
  <si>
    <t>ITACW</t>
  </si>
  <si>
    <t>Industrial Tech Acquisitions Inc. Warrant</t>
  </si>
  <si>
    <t>ITCI</t>
  </si>
  <si>
    <t>Intra-Cellular Therapies Inc. Common Stock</t>
  </si>
  <si>
    <t>ITHX</t>
  </si>
  <si>
    <t>ITHAX Acquisition Corp. Class A Ordinary Shares</t>
  </si>
  <si>
    <t>ITHXW</t>
  </si>
  <si>
    <t>ITHAX Acquisition Corp. Warrant</t>
  </si>
  <si>
    <t>ITI</t>
  </si>
  <si>
    <t>Iteris Inc. Common Stock</t>
  </si>
  <si>
    <t>ITIC</t>
  </si>
  <si>
    <t>Investors Title Company Common Stock</t>
  </si>
  <si>
    <t>ITMR</t>
  </si>
  <si>
    <t>Itamar Medical Ltd. American Depository Shares</t>
  </si>
  <si>
    <t>ITOS</t>
  </si>
  <si>
    <t>iTeos Therapeutics Inc. Common Stock</t>
  </si>
  <si>
    <t>ITQRW</t>
  </si>
  <si>
    <t>Itiquira Acquisition Corp. Warrant</t>
  </si>
  <si>
    <t>ITRI</t>
  </si>
  <si>
    <t>Itron Inc. Common Stock</t>
  </si>
  <si>
    <t>ITRM</t>
  </si>
  <si>
    <t>Iterum Therapeutics plc Ordinary Share</t>
  </si>
  <si>
    <t>ITRN</t>
  </si>
  <si>
    <t>Ituran Location and Control Ltd. Ordinary Shares</t>
  </si>
  <si>
    <t>IVA</t>
  </si>
  <si>
    <t>Inventiva S.A. American Depository Shares</t>
  </si>
  <si>
    <t>IVAC</t>
  </si>
  <si>
    <t>Intevac Inc. Common Stock</t>
  </si>
  <si>
    <t>IZEA</t>
  </si>
  <si>
    <t>IZEA Worldwide Inc. Common Stock</t>
  </si>
  <si>
    <t>JACK</t>
  </si>
  <si>
    <t>Jack In The Box Inc. Common Stock</t>
  </si>
  <si>
    <t>JAGX</t>
  </si>
  <si>
    <t>Jaguar Health Inc. Common Stock</t>
  </si>
  <si>
    <t>JAKK</t>
  </si>
  <si>
    <t>JAKKS Pacific Inc. Common Stock</t>
  </si>
  <si>
    <t>JAMF</t>
  </si>
  <si>
    <t>Jamf Holding Corp. Common Stock</t>
  </si>
  <si>
    <t>JAN</t>
  </si>
  <si>
    <t>JanOne Inc. Common Stock (NV)</t>
  </si>
  <si>
    <t>JANX</t>
  </si>
  <si>
    <t>Janux Therapeutics Inc. Common Stock</t>
  </si>
  <si>
    <t>JAZZ</t>
  </si>
  <si>
    <t>Jazz Pharmaceuticals plc Common Stock (Ireland)</t>
  </si>
  <si>
    <t>JBHT</t>
  </si>
  <si>
    <t>J.B. Hunt Transport Services Inc. Common Stock</t>
  </si>
  <si>
    <t>JBLU</t>
  </si>
  <si>
    <t>JetBlue Airways Corporation Common Stock</t>
  </si>
  <si>
    <t>JBSS</t>
  </si>
  <si>
    <t>John B. Sanfilippo &amp; Son Inc. Common Stock</t>
  </si>
  <si>
    <t>JCIC</t>
  </si>
  <si>
    <t>Jack Creek Investment Corp. Class A Ordinary Shares</t>
  </si>
  <si>
    <t>JCICU</t>
  </si>
  <si>
    <t>Jack Creek Investment Corp. Units</t>
  </si>
  <si>
    <t>JCICW</t>
  </si>
  <si>
    <t>Jack Creek Investment Corp. Warrants</t>
  </si>
  <si>
    <t>JCOM</t>
  </si>
  <si>
    <t>j2 Global Inc. Common Stock</t>
  </si>
  <si>
    <t>JCS</t>
  </si>
  <si>
    <t>Communications Systems Inc. Common Stock</t>
  </si>
  <si>
    <t>JCTCF</t>
  </si>
  <si>
    <t>Jewett-Cameron Trading Company Common Shares</t>
  </si>
  <si>
    <t>JD</t>
  </si>
  <si>
    <t>JD.com Inc. American Depositary Shares</t>
  </si>
  <si>
    <t>JFIN</t>
  </si>
  <si>
    <t>Jiayin Group Inc. American Depositary Shares</t>
  </si>
  <si>
    <t>JFU</t>
  </si>
  <si>
    <t>9F Inc. American Depositary Shares</t>
  </si>
  <si>
    <t>JG</t>
  </si>
  <si>
    <t>Aurora Mobile Limited American Depositary Shares</t>
  </si>
  <si>
    <t>JJSF</t>
  </si>
  <si>
    <t>J &amp; J Snack Foods Corp. Common Stock</t>
  </si>
  <si>
    <t>JKHY</t>
  </si>
  <si>
    <t>Jack Henry &amp; Associates Inc. Common Stock</t>
  </si>
  <si>
    <t>JMPNL</t>
  </si>
  <si>
    <t>JMP Group LLC 7.25% Senior Notes due 2027</t>
  </si>
  <si>
    <t>JMPNZ</t>
  </si>
  <si>
    <t>JMP Group LLC 6.875% Senior Notes due 2029</t>
  </si>
  <si>
    <t>JNCE</t>
  </si>
  <si>
    <t>Jounce Therapeutics Inc. Common Stock</t>
  </si>
  <si>
    <t>JOAN</t>
  </si>
  <si>
    <t>JOANN Inc. Common Stock</t>
  </si>
  <si>
    <t>JOBS</t>
  </si>
  <si>
    <t>51job Inc. American Depositary Shares</t>
  </si>
  <si>
    <t>JOFF</t>
  </si>
  <si>
    <t>JOFF Fintech Acquisition Corp. Class A Common Stock</t>
  </si>
  <si>
    <t>JOFFU</t>
  </si>
  <si>
    <t>JOFF Fintech Acquisition Corp. Unit</t>
  </si>
  <si>
    <t>JOFFW</t>
  </si>
  <si>
    <t>JOFF Fintech Acquisition Corp. Warrant</t>
  </si>
  <si>
    <t>JOUT</t>
  </si>
  <si>
    <t>Johnson Outdoors Inc. Class A Common Stock</t>
  </si>
  <si>
    <t>JRJC</t>
  </si>
  <si>
    <t>China Finance Online Co. Limited American Depositary Shares</t>
  </si>
  <si>
    <t>JRSH</t>
  </si>
  <si>
    <t>Jerash Holdings (US) Inc. Common Stock</t>
  </si>
  <si>
    <t>JRVR</t>
  </si>
  <si>
    <t>James River Group Holdings Ltd. Common Shares</t>
  </si>
  <si>
    <t>JSM</t>
  </si>
  <si>
    <t>Navient Corporation 6% Senior Notes due December 15 2043</t>
  </si>
  <si>
    <t>JUGGU</t>
  </si>
  <si>
    <t>Jaws Juggernaut Acquisition Corporation Unit</t>
  </si>
  <si>
    <t>JUPW</t>
  </si>
  <si>
    <t>Jupiter Wellness Inc. Common Stock</t>
  </si>
  <si>
    <t>JUPWW</t>
  </si>
  <si>
    <t>Jupiter Wellness Inc. Warrant</t>
  </si>
  <si>
    <t>JVA</t>
  </si>
  <si>
    <t>Coffee Holding Co. Inc. Common Stock</t>
  </si>
  <si>
    <t>JWEL</t>
  </si>
  <si>
    <t>Jowell Global Ltd. Ordinary Shares</t>
  </si>
  <si>
    <t>JYAC</t>
  </si>
  <si>
    <t>Jiya Acquisition Corp. Class A Common Stock</t>
  </si>
  <si>
    <t>JYNT</t>
  </si>
  <si>
    <t>The Joint Corp. Common Stock</t>
  </si>
  <si>
    <t>JZXN</t>
  </si>
  <si>
    <t>Jiuzi Holdings Inc. Ordinary Shares</t>
  </si>
  <si>
    <t>KAII</t>
  </si>
  <si>
    <t>Kismet Acquisition Two Corp. Class A Ordinary Shares</t>
  </si>
  <si>
    <t>KAIIU</t>
  </si>
  <si>
    <t>Kismet Acquisition Two Corp. Unit</t>
  </si>
  <si>
    <t>KAIIW</t>
  </si>
  <si>
    <t>Kismet Acquisition Two Corp. Warrant</t>
  </si>
  <si>
    <t>KAIR</t>
  </si>
  <si>
    <t>Kairos Acquisition Corp. Class A Ordinary Shares</t>
  </si>
  <si>
    <t>KAIRU</t>
  </si>
  <si>
    <t>Kairos Acquisition Corp. Unit</t>
  </si>
  <si>
    <t>KAIRW</t>
  </si>
  <si>
    <t>Kairos Acquisition Corp. Warrant</t>
  </si>
  <si>
    <t>KALA</t>
  </si>
  <si>
    <t>Kala Pharmaceuticals Inc. Common Stock</t>
  </si>
  <si>
    <t>KALU</t>
  </si>
  <si>
    <t>Kaiser Aluminum Corporation Common Stock</t>
  </si>
  <si>
    <t>KALV</t>
  </si>
  <si>
    <t>KalVista Pharmaceuticals Inc. Common Stock</t>
  </si>
  <si>
    <t>KARO</t>
  </si>
  <si>
    <t>Karooooo Ltd. Ordinary Shares</t>
  </si>
  <si>
    <t>KAVL</t>
  </si>
  <si>
    <t>Kaival Brands Innovations Group Inc. Common Stock</t>
  </si>
  <si>
    <t>KBAL</t>
  </si>
  <si>
    <t>Kimball International Inc. Class B Common Stock</t>
  </si>
  <si>
    <t>KBNT</t>
  </si>
  <si>
    <t>Kubient Inc. Common Stock</t>
  </si>
  <si>
    <t>KBNTW</t>
  </si>
  <si>
    <t>Kubient Inc. Warrant</t>
  </si>
  <si>
    <t>KBSF</t>
  </si>
  <si>
    <t>KBS Fashion Group Limited Common Stock</t>
  </si>
  <si>
    <t>KC</t>
  </si>
  <si>
    <t>Kingsoft Cloud Holdings Limited American Depositary Shares</t>
  </si>
  <si>
    <t>KDMN</t>
  </si>
  <si>
    <t>Kadmon Holdings Inc. Common Stock</t>
  </si>
  <si>
    <t>KDNY</t>
  </si>
  <si>
    <t>Chinook Therapeutics Inc. Common Stock</t>
  </si>
  <si>
    <t>KDP</t>
  </si>
  <si>
    <t>Keurig Dr Pepper Inc. Common Stock</t>
  </si>
  <si>
    <t>KE</t>
  </si>
  <si>
    <t>Kimball Electronics Inc. Common Stock</t>
  </si>
  <si>
    <t>KELYA</t>
  </si>
  <si>
    <t>Kelly Services Inc. Class A Common Stock</t>
  </si>
  <si>
    <t>KELYB</t>
  </si>
  <si>
    <t>Kelly Services Inc. Class B Common Stock</t>
  </si>
  <si>
    <t>KEQU</t>
  </si>
  <si>
    <t>Kewaunee Scientific Corporation Common Stock</t>
  </si>
  <si>
    <t>KERN</t>
  </si>
  <si>
    <t>Akerna Corp. Common Stock</t>
  </si>
  <si>
    <t>KERNW</t>
  </si>
  <si>
    <t>Akerna Corp Warrant</t>
  </si>
  <si>
    <t>KFFB</t>
  </si>
  <si>
    <t>Kentucky First Federal Bancorp Common Stock</t>
  </si>
  <si>
    <t>KFRC</t>
  </si>
  <si>
    <t>Kforce Inc. Common Stock</t>
  </si>
  <si>
    <t>KHC</t>
  </si>
  <si>
    <t>The Kraft Heinz Company Common Stock</t>
  </si>
  <si>
    <t>KIDS</t>
  </si>
  <si>
    <t>OrthoPediatrics Corp. Common Stock</t>
  </si>
  <si>
    <t>KIII</t>
  </si>
  <si>
    <t>Kismet Acquisition Three Corp. Class A Ordinary Shares</t>
  </si>
  <si>
    <t>KIIIU</t>
  </si>
  <si>
    <t>Kismet Acquisition Three Corp. Unit</t>
  </si>
  <si>
    <t>KIIIW</t>
  </si>
  <si>
    <t>Kismet Acquisition Three Corp. Warrant</t>
  </si>
  <si>
    <t>KIN</t>
  </si>
  <si>
    <t>Kindred Biosciences Inc. Common Stock</t>
  </si>
  <si>
    <t>KINS</t>
  </si>
  <si>
    <t>Kingstone Companies Inc. Common Stock</t>
  </si>
  <si>
    <t>KINZ</t>
  </si>
  <si>
    <t>KINS Technology Group Inc. Class A Common Stock</t>
  </si>
  <si>
    <t>KINZW</t>
  </si>
  <si>
    <t>KINS Technology Group Inc. Warrant</t>
  </si>
  <si>
    <t>KIRK</t>
  </si>
  <si>
    <t>Kirkland's Inc. COMMONSTOCK</t>
  </si>
  <si>
    <t>KLAC</t>
  </si>
  <si>
    <t>KLA Corporation Common Stock</t>
  </si>
  <si>
    <t>KLAQ</t>
  </si>
  <si>
    <t>KL Acquisition Corp Class A Common Stock</t>
  </si>
  <si>
    <t>KLAQU</t>
  </si>
  <si>
    <t>KL Acquisition Corp Unit</t>
  </si>
  <si>
    <t>KLAQW</t>
  </si>
  <si>
    <t>KL Acquisition Corp Warrant</t>
  </si>
  <si>
    <t>KLDO</t>
  </si>
  <si>
    <t>Kaleido Biosciences Inc. Common Stock</t>
  </si>
  <si>
    <t>KLIC</t>
  </si>
  <si>
    <t>Kulicke and Soffa Industries Inc. Common Stock</t>
  </si>
  <si>
    <t>KLTR</t>
  </si>
  <si>
    <t>Kaltura Inc. Common Stock</t>
  </si>
  <si>
    <t>KLXE</t>
  </si>
  <si>
    <t>KLX Energy Services Holdings Inc. Common Stock</t>
  </si>
  <si>
    <t>KMDA</t>
  </si>
  <si>
    <t>Kamada Ltd. Ordinary Shares</t>
  </si>
  <si>
    <t>KMPH</t>
  </si>
  <si>
    <t>KemPharm Inc. Common Stock</t>
  </si>
  <si>
    <t>KNBE</t>
  </si>
  <si>
    <t>KnowBe4 Inc. Class A Common Stock</t>
  </si>
  <si>
    <t>KNDI</t>
  </si>
  <si>
    <t>Kandi Technologies Group Inc Common Stock</t>
  </si>
  <si>
    <t>KNSA</t>
  </si>
  <si>
    <t>Kiniksa Pharmaceuticals Ltd. Class A Common Stock</t>
  </si>
  <si>
    <t>KNSL</t>
  </si>
  <si>
    <t>Kinsale Capital Group Inc. Common Stock</t>
  </si>
  <si>
    <t>KNTE</t>
  </si>
  <si>
    <t>Kinnate Biopharma Inc. Common Stock</t>
  </si>
  <si>
    <t>KOD</t>
  </si>
  <si>
    <t>Kodiak Sciences Inc Common Stock</t>
  </si>
  <si>
    <t>KOPN</t>
  </si>
  <si>
    <t>Kopin Corporation Common Stock</t>
  </si>
  <si>
    <t>KOR</t>
  </si>
  <si>
    <t>Corvus Gold Inc. Common Shares</t>
  </si>
  <si>
    <t>KOSS</t>
  </si>
  <si>
    <t>Koss Corporation Common Stock</t>
  </si>
  <si>
    <t>KPLT</t>
  </si>
  <si>
    <t>Katapult Holdings Inc. Common Stock</t>
  </si>
  <si>
    <t>KPLTW</t>
  </si>
  <si>
    <t>Katapult Holdings Inc. Warrant</t>
  </si>
  <si>
    <t>KPTI</t>
  </si>
  <si>
    <t>Karyopharm Therapeutics Inc. Common Stock</t>
  </si>
  <si>
    <t>KRBP</t>
  </si>
  <si>
    <t>Kiromic BioPharma Inc. Common Stock</t>
  </si>
  <si>
    <t>KRKR</t>
  </si>
  <si>
    <t>36Kr Holdings Inc. American Depositary Shares</t>
  </si>
  <si>
    <t>KRMD</t>
  </si>
  <si>
    <t>Repro Med Systems Inc. Common Stock</t>
  </si>
  <si>
    <t>KRNL</t>
  </si>
  <si>
    <t>Kernel Group Holdings Inc. Class A Ordinary Shares</t>
  </si>
  <si>
    <t>KRNLU</t>
  </si>
  <si>
    <t>Kernel Group Holdings Inc. Units</t>
  </si>
  <si>
    <t>KRNLW</t>
  </si>
  <si>
    <t>Kernel Group Holdings Inc. Warrants</t>
  </si>
  <si>
    <t>KRNT</t>
  </si>
  <si>
    <t>Kornit Digital Ltd. Ordinary Shares</t>
  </si>
  <si>
    <t>KRNY</t>
  </si>
  <si>
    <t>Kearny Financial Corp Common Stock</t>
  </si>
  <si>
    <t>KRON</t>
  </si>
  <si>
    <t>Kronos Bio Inc. Common Stock</t>
  </si>
  <si>
    <t>KROS</t>
  </si>
  <si>
    <t>Keros Therapeutics Inc. Common Stock</t>
  </si>
  <si>
    <t>KRT</t>
  </si>
  <si>
    <t>Karat Packaging Inc. Common Stock</t>
  </si>
  <si>
    <t>KRTX</t>
  </si>
  <si>
    <t>Karuna Therapeutics Inc. Common Stock</t>
  </si>
  <si>
    <t>KRUS</t>
  </si>
  <si>
    <t>Kura Sushi USA Inc. Class A Common Stock</t>
  </si>
  <si>
    <t>KRYS</t>
  </si>
  <si>
    <t>Krystal Biotech Inc. Common Stock</t>
  </si>
  <si>
    <t>KSI</t>
  </si>
  <si>
    <t>Kadem Sustainable Impact Corporation Class A common stock</t>
  </si>
  <si>
    <t>KSICU</t>
  </si>
  <si>
    <t>Kadem Sustainable Impact Corporation Unit</t>
  </si>
  <si>
    <t>KSICW</t>
  </si>
  <si>
    <t>Kadem Sustainable Impact Corporation Warrant</t>
  </si>
  <si>
    <t>KSMT</t>
  </si>
  <si>
    <t>Kismet Acquisition One Corp Ordinary Shares</t>
  </si>
  <si>
    <t>KSPN</t>
  </si>
  <si>
    <t>Kaspien Holdings Inc. Common Stock</t>
  </si>
  <si>
    <t>KTCC</t>
  </si>
  <si>
    <t>Key Tronic Corporation Common Stock</t>
  </si>
  <si>
    <t>KTOS</t>
  </si>
  <si>
    <t>Kratos Defense &amp; Security Solutions Inc. Common Stock</t>
  </si>
  <si>
    <t>KTRA</t>
  </si>
  <si>
    <t>Kintara Therapeutics Inc. Common Stock</t>
  </si>
  <si>
    <t>KURA</t>
  </si>
  <si>
    <t>Kura Oncology Inc. Common Stock</t>
  </si>
  <si>
    <t>KURI</t>
  </si>
  <si>
    <t>Alkuri Global Acquisition Corp. Class A common stock</t>
  </si>
  <si>
    <t>KURIU</t>
  </si>
  <si>
    <t>Alkuri Global Acquisition Corp. Unit</t>
  </si>
  <si>
    <t>KURIW</t>
  </si>
  <si>
    <t>Alkuri Global Acquisition Corp. Warrant</t>
  </si>
  <si>
    <t>KVHI</t>
  </si>
  <si>
    <t>KVH Industries Inc. Common Stock</t>
  </si>
  <si>
    <t>KVSA</t>
  </si>
  <si>
    <t>Khosla Ventures Acquisition Co. Class A Common Stock</t>
  </si>
  <si>
    <t>KVSB</t>
  </si>
  <si>
    <t>Khosla Ventures Acquisition Co. II Class A Common Stock</t>
  </si>
  <si>
    <t>KVSC</t>
  </si>
  <si>
    <t>Khosla Ventures Acquisition Co. III Class A Common Stock</t>
  </si>
  <si>
    <t>KXIN</t>
  </si>
  <si>
    <t>Kaixin Auto Holdings Ordinary Share</t>
  </si>
  <si>
    <t>KYMR</t>
  </si>
  <si>
    <t>Kymera Therapeutics Inc. Common Stock</t>
  </si>
  <si>
    <t>KZIA</t>
  </si>
  <si>
    <t>Kazia Therapeutics Limited American Depositary Shares</t>
  </si>
  <si>
    <t>KZR</t>
  </si>
  <si>
    <t>Kezar Life Sciences Inc. Common Stock</t>
  </si>
  <si>
    <t>LAAA</t>
  </si>
  <si>
    <t>Lakeshore Acquisition I Corp. Ordinary Shares</t>
  </si>
  <si>
    <t>LAAAW</t>
  </si>
  <si>
    <t>Lakeshore Acquisition I Corp. Warrant</t>
  </si>
  <si>
    <t>LABP</t>
  </si>
  <si>
    <t>Landos Biopharma Inc. Common Stock</t>
  </si>
  <si>
    <t>LAKE</t>
  </si>
  <si>
    <t>Lakeland Industries Inc. Common Stock</t>
  </si>
  <si>
    <t>LAMR</t>
  </si>
  <si>
    <t>Lamar Advertising Company Class A Common Stock</t>
  </si>
  <si>
    <t>LANC</t>
  </si>
  <si>
    <t>Lancaster Colony Corporation Common Stock</t>
  </si>
  <si>
    <t>LAND</t>
  </si>
  <si>
    <t>Gladstone Land Corporation Common Stock</t>
  </si>
  <si>
    <t>LANDM</t>
  </si>
  <si>
    <t>Gladstone Land Corporation 5.00% Series D Cumulative Term Preferred Stock</t>
  </si>
  <si>
    <t>LANDO</t>
  </si>
  <si>
    <t>Gladstone Land Corporation 6.00% Series B Cumulative Redeemable Preferred Stock</t>
  </si>
  <si>
    <t>LARK</t>
  </si>
  <si>
    <t>Landmark Bancorp Inc. Common Stock</t>
  </si>
  <si>
    <t>LASR</t>
  </si>
  <si>
    <t>nLIGHT Inc. Common Stock</t>
  </si>
  <si>
    <t>LATN</t>
  </si>
  <si>
    <t>Union Acquisition Corp. II Ordinary Shares</t>
  </si>
  <si>
    <t>LATNU</t>
  </si>
  <si>
    <t>Union Acquisition Corp. II Units containing one ordinary share and one redeemable warrant</t>
  </si>
  <si>
    <t>LATNW</t>
  </si>
  <si>
    <t>Union Acquisition Corp. II Warrant</t>
  </si>
  <si>
    <t>LAUR</t>
  </si>
  <si>
    <t>Laureate Education Inc. Class A Common Stock</t>
  </si>
  <si>
    <t>LAWS</t>
  </si>
  <si>
    <t>Lawson Products Inc. Common Stock</t>
  </si>
  <si>
    <t>LAZR</t>
  </si>
  <si>
    <t>Luminar Technologies Inc.  Class A Common Stock</t>
  </si>
  <si>
    <t>LAZY</t>
  </si>
  <si>
    <t>Lazydays Holdings Inc. Common Stock</t>
  </si>
  <si>
    <t>LBAI</t>
  </si>
  <si>
    <t>Lakeland Bancorp Inc. Common Stock</t>
  </si>
  <si>
    <t>LBC</t>
  </si>
  <si>
    <t>Luther Burbank Corporation Common Stock</t>
  </si>
  <si>
    <t>LBPH</t>
  </si>
  <si>
    <t>Longboard Pharmaceuticals Inc. Common Stock</t>
  </si>
  <si>
    <t>LBPS</t>
  </si>
  <si>
    <t>4D pharma plc American Depositary Shares</t>
  </si>
  <si>
    <t>LBPSW</t>
  </si>
  <si>
    <t>4D pharma plc Warrant</t>
  </si>
  <si>
    <t>LBRDA</t>
  </si>
  <si>
    <t>Liberty Broadband Corporation Class A Common Stock</t>
  </si>
  <si>
    <t>LBRDK</t>
  </si>
  <si>
    <t>Liberty Broadband Corporation Class C Common Stock</t>
  </si>
  <si>
    <t>LBRDP</t>
  </si>
  <si>
    <t>Liberty Broadband Corporation Series A Cumulative Redeemable Preferred Stock</t>
  </si>
  <si>
    <t>LBTYA</t>
  </si>
  <si>
    <t>Liberty Global plc Class A Ordinary Shares</t>
  </si>
  <si>
    <t>LBTYB</t>
  </si>
  <si>
    <t>Liberty Global plc Class B Ordinary Shares</t>
  </si>
  <si>
    <t>LBTYK</t>
  </si>
  <si>
    <t>Liberty Global plc Class C Ordinary Shares</t>
  </si>
  <si>
    <t>LCA</t>
  </si>
  <si>
    <t>Landcadia Holdings IV Inc. Class A Common Stock</t>
  </si>
  <si>
    <t>LCAA</t>
  </si>
  <si>
    <t>L Catterton Asia Acquisition Corp Class A Ordinary Shares</t>
  </si>
  <si>
    <t>LCAAU</t>
  </si>
  <si>
    <t>L Catterton Asia Acquisition Corp Units</t>
  </si>
  <si>
    <t>LCAAW</t>
  </si>
  <si>
    <t>L Catterton Asia Acquisition Corp Warrant</t>
  </si>
  <si>
    <t>LCAHU</t>
  </si>
  <si>
    <t>Landcadia Holdings IV Inc. Units</t>
  </si>
  <si>
    <t>LCAHW</t>
  </si>
  <si>
    <t>Landcadia Holdings IV Inc. Warrant</t>
  </si>
  <si>
    <t>LCAP</t>
  </si>
  <si>
    <t>Lionheart Acquisition Corp. II Class A Common Stock</t>
  </si>
  <si>
    <t>LCAPU</t>
  </si>
  <si>
    <t>Lionheart Acquisition Corp. II Unit</t>
  </si>
  <si>
    <t>LCAPW</t>
  </si>
  <si>
    <t>Lionheart Acquisition Corp. II Warrant</t>
  </si>
  <si>
    <t>LCID</t>
  </si>
  <si>
    <t>Lucid Group Inc. Common Stock</t>
  </si>
  <si>
    <t>LCIDW</t>
  </si>
  <si>
    <t>Lucid Group Inc. Warrant</t>
  </si>
  <si>
    <t>LCNB</t>
  </si>
  <si>
    <t>LCNB Corporation Common Stock</t>
  </si>
  <si>
    <t>LCUT</t>
  </si>
  <si>
    <t>Lifetime Brands Inc. Common Stock</t>
  </si>
  <si>
    <t>LDHA</t>
  </si>
  <si>
    <t>LDH Growth Corp I Class A Ordinary Shares</t>
  </si>
  <si>
    <t>LDHAU</t>
  </si>
  <si>
    <t>LDH Growth Corp I Units</t>
  </si>
  <si>
    <t>LDHAW</t>
  </si>
  <si>
    <t>LDH Growth Corp I Warrant</t>
  </si>
  <si>
    <t>LE</t>
  </si>
  <si>
    <t>Lands' End Inc. Common Stock</t>
  </si>
  <si>
    <t>LECO</t>
  </si>
  <si>
    <t>Lincoln Electric Holdings Inc. Common Shares</t>
  </si>
  <si>
    <t>LEDS</t>
  </si>
  <si>
    <t>SemiLEDS Corporation Common Stock</t>
  </si>
  <si>
    <t>LEE</t>
  </si>
  <si>
    <t>Lee Enterprises Incorporated Common Stock</t>
  </si>
  <si>
    <t>LEGA</t>
  </si>
  <si>
    <t>Lead Edge Growth Opportunities Ltd Class A Ordinary Shares</t>
  </si>
  <si>
    <t>LEGAW</t>
  </si>
  <si>
    <t>Lead Edge Growth Opportunities Ltd Warrant</t>
  </si>
  <si>
    <t>LEGH</t>
  </si>
  <si>
    <t>Legacy Housing Corporation Common Stock (TX)</t>
  </si>
  <si>
    <t>LEGN</t>
  </si>
  <si>
    <t>Legend Biotech Corporation American Depositary Shares</t>
  </si>
  <si>
    <t>LEGO</t>
  </si>
  <si>
    <t>Legato Merger Corp. Common stock</t>
  </si>
  <si>
    <t>LEGOU</t>
  </si>
  <si>
    <t>Legato Merger Corp. Units</t>
  </si>
  <si>
    <t>LEGOW</t>
  </si>
  <si>
    <t>Legato Merger Corp. Warrant</t>
  </si>
  <si>
    <t>LESL</t>
  </si>
  <si>
    <t>Leslie's Inc. Common Stock</t>
  </si>
  <si>
    <t>LEVL</t>
  </si>
  <si>
    <t>Level One Bancorp Inc. Common Stock</t>
  </si>
  <si>
    <t>LEVLP</t>
  </si>
  <si>
    <t>Level One Bancorp Inc. Depositary Shares Each Representing a 1/100th Interest in a Share of 7.50% Non-Cumulative Perpetual Preferred Stock Series B</t>
  </si>
  <si>
    <t>LEXX</t>
  </si>
  <si>
    <t>Lexaria Bioscience Corp. Common Stock</t>
  </si>
  <si>
    <t>LEXXW</t>
  </si>
  <si>
    <t>Lexaria Bioscience Corp. Warrant</t>
  </si>
  <si>
    <t>LFMD</t>
  </si>
  <si>
    <t>LifeMD Inc. Common Stock</t>
  </si>
  <si>
    <t>LFST</t>
  </si>
  <si>
    <t>LifeStance Health Group Inc. Common Stock</t>
  </si>
  <si>
    <t>LFTR</t>
  </si>
  <si>
    <t>Lefteris Acquisition Corp. Class A Common Stock</t>
  </si>
  <si>
    <t>LFTRU</t>
  </si>
  <si>
    <t>Lefteris Acquisition Corp. Unit</t>
  </si>
  <si>
    <t>LFTRW</t>
  </si>
  <si>
    <t>Lefteris Acquisition Corp. Warrant</t>
  </si>
  <si>
    <t>LFUS</t>
  </si>
  <si>
    <t>Littelfuse Inc. Common Stock</t>
  </si>
  <si>
    <t>LFVN</t>
  </si>
  <si>
    <t>Lifevantage Corporation Common Stock (Delaware)</t>
  </si>
  <si>
    <t>LGAC</t>
  </si>
  <si>
    <t>Lazard Growth Acquisition Corp. I Ordinary Shares</t>
  </si>
  <si>
    <t>LGACU</t>
  </si>
  <si>
    <t>Lazard Growth Acquisition Corp. I Units</t>
  </si>
  <si>
    <t>LGACW</t>
  </si>
  <si>
    <t>Lazard Growth Acquisition Corp. I Warrants</t>
  </si>
  <si>
    <t>LGHL</t>
  </si>
  <si>
    <t>Lion Group Holding Ltd. American Depositary Share</t>
  </si>
  <si>
    <t>LGHLW</t>
  </si>
  <si>
    <t>Lion Group Holding Ltd. Warrant</t>
  </si>
  <si>
    <t>LGIH</t>
  </si>
  <si>
    <t>LGI Homes Inc. Common Stock</t>
  </si>
  <si>
    <t>LGND</t>
  </si>
  <si>
    <t>Ligand Pharmaceuticals Incorporated Common Stock</t>
  </si>
  <si>
    <t>LGO</t>
  </si>
  <si>
    <t>Largo Resources Ltd. Common Shares</t>
  </si>
  <si>
    <t>LGVN</t>
  </si>
  <si>
    <t>Longeveron Inc. Class A Common Stock</t>
  </si>
  <si>
    <t>LHAA</t>
  </si>
  <si>
    <t>Lerer Hippeau Acquisition Corp. Class A Common Stock</t>
  </si>
  <si>
    <t>LHCG</t>
  </si>
  <si>
    <t>LHC Group Common Stock</t>
  </si>
  <si>
    <t>LHDX</t>
  </si>
  <si>
    <t>Lucira Health Inc. Common Stock</t>
  </si>
  <si>
    <t>LI</t>
  </si>
  <si>
    <t>Li Auto Inc. American Depositary Shares</t>
  </si>
  <si>
    <t>LIFE</t>
  </si>
  <si>
    <t>aTyr Pharma Inc. Common Stock</t>
  </si>
  <si>
    <t>LILA</t>
  </si>
  <si>
    <t>Liberty Latin America Ltd. Class A Common Stock</t>
  </si>
  <si>
    <t>LILAK</t>
  </si>
  <si>
    <t>Liberty Latin America Ltd. Class C Common Stock</t>
  </si>
  <si>
    <t>LINC</t>
  </si>
  <si>
    <t>Lincoln Educational Services Corporation Common Stock</t>
  </si>
  <si>
    <t>LIND</t>
  </si>
  <si>
    <t>Lindblad Expeditions Holdings Inc. Common Stock</t>
  </si>
  <si>
    <t>LINK</t>
  </si>
  <si>
    <t>Interlink Electronics Inc. Common Stock</t>
  </si>
  <si>
    <t>LIQT</t>
  </si>
  <si>
    <t>LiqTech International Inc. Common Stock</t>
  </si>
  <si>
    <t>LITE</t>
  </si>
  <si>
    <t>Lumentum Holdings Inc. Common Stock</t>
  </si>
  <si>
    <t>LITTU</t>
  </si>
  <si>
    <t>Logistics Innovation Technologies Corp. Units</t>
  </si>
  <si>
    <t>LIVE</t>
  </si>
  <si>
    <t>Live Ventures Incorporated Common Stock</t>
  </si>
  <si>
    <t>LIVK</t>
  </si>
  <si>
    <t>LIV Capital Acquisition Corp. Class A Ordinary Shares</t>
  </si>
  <si>
    <t>LIVKU</t>
  </si>
  <si>
    <t>LIV Capital Acquisition Corp. Unit</t>
  </si>
  <si>
    <t>LIVKW</t>
  </si>
  <si>
    <t>LIV Capital Acquisition Corp. Warrant</t>
  </si>
  <si>
    <t>LIVN</t>
  </si>
  <si>
    <t>LivaNova PLC Ordinary Shares</t>
  </si>
  <si>
    <t>LIVX</t>
  </si>
  <si>
    <t>LiveXLive Media Inc. Common Stock</t>
  </si>
  <si>
    <t>LIXT</t>
  </si>
  <si>
    <t>Lixte Biotechnology Holdings Inc. Common Stock</t>
  </si>
  <si>
    <t>LIXTW</t>
  </si>
  <si>
    <t>Lixte Biotechnology Holdings Inc. Warrants</t>
  </si>
  <si>
    <t>LIZI</t>
  </si>
  <si>
    <t>LIZHI INC. American Depositary Shares</t>
  </si>
  <si>
    <t>LJAQ</t>
  </si>
  <si>
    <t>LightJump Acquisition Corporation Common Stock</t>
  </si>
  <si>
    <t>LJAQU</t>
  </si>
  <si>
    <t>LightJump Acquisition Corporation Unit</t>
  </si>
  <si>
    <t>LJAQW</t>
  </si>
  <si>
    <t>LightJump Acquisition Corporation Warrant</t>
  </si>
  <si>
    <t>LJPC</t>
  </si>
  <si>
    <t>La Jolla Pharmaceutical Company Common Stock</t>
  </si>
  <si>
    <t>LKCO</t>
  </si>
  <si>
    <t>Luokung Technology Corp Ordinary Shares</t>
  </si>
  <si>
    <t>LKFN</t>
  </si>
  <si>
    <t>Lakeland Financial Corporation Common Stock</t>
  </si>
  <si>
    <t>LKQ</t>
  </si>
  <si>
    <t>LKQ Corporation Common Stock</t>
  </si>
  <si>
    <t>LLNW</t>
  </si>
  <si>
    <t>Limelight Networks Inc. Common Stock</t>
  </si>
  <si>
    <t>LMACA</t>
  </si>
  <si>
    <t>Liberty Media Acquisition Corporation Series A Common Stock</t>
  </si>
  <si>
    <t>LMACU</t>
  </si>
  <si>
    <t>Liberty Media Acquisition Corporation Unit</t>
  </si>
  <si>
    <t>LMACW</t>
  </si>
  <si>
    <t>Liberty Media Acquisition Corporation Warrants</t>
  </si>
  <si>
    <t>LMAO</t>
  </si>
  <si>
    <t>LMF Acquisition Opportunities Inc. Class A common stock</t>
  </si>
  <si>
    <t>LMAOW</t>
  </si>
  <si>
    <t>LMF Acquisition Opportunities Inc. Warrant</t>
  </si>
  <si>
    <t>LMAT</t>
  </si>
  <si>
    <t>LeMaitre Vascular Inc. Common Stock</t>
  </si>
  <si>
    <t>LMB</t>
  </si>
  <si>
    <t>Limbach Holdings Inc. Common Stock</t>
  </si>
  <si>
    <t>LMFA</t>
  </si>
  <si>
    <t>LM Funding America Inc. Common Stock</t>
  </si>
  <si>
    <t>LMNL</t>
  </si>
  <si>
    <t>Liminal BioSciences Inc. Common Shares</t>
  </si>
  <si>
    <t>LMNR</t>
  </si>
  <si>
    <t>Limoneira Co Common Stock</t>
  </si>
  <si>
    <t>LMPX</t>
  </si>
  <si>
    <t>LMP Automotive Holdings Inc. Common Stock</t>
  </si>
  <si>
    <t>LMRK</t>
  </si>
  <si>
    <t>Landmark Infrastructure Partners LP Common Units</t>
  </si>
  <si>
    <t>LMRKN</t>
  </si>
  <si>
    <t>Landmark Infrastructure Partners LP 7% Series C Fltg/Fxd Perpetual Conv Preferred Stock</t>
  </si>
  <si>
    <t>LMRKO</t>
  </si>
  <si>
    <t>Landmark Infrastructure Partners LP Perpetual Preferred Units Series B 7.90%</t>
  </si>
  <si>
    <t>LMRKP</t>
  </si>
  <si>
    <t>Landmark Infrastructure Partners LP 8.00% Series A Cumulative Redeemable Perpetual Preferred Units</t>
  </si>
  <si>
    <t>LMST</t>
  </si>
  <si>
    <t>Limestone Bancorp Inc. Common Stock</t>
  </si>
  <si>
    <t>LNDC</t>
  </si>
  <si>
    <t>Landec Corporation Common Stock (DE)</t>
  </si>
  <si>
    <t>LNSR</t>
  </si>
  <si>
    <t>LENSAR Inc. Common Stock</t>
  </si>
  <si>
    <t>LNT</t>
  </si>
  <si>
    <t>Alliant Energy Corporation Common Stock</t>
  </si>
  <si>
    <t>LNTH</t>
  </si>
  <si>
    <t>Lantheus Holdings Inc. Common Stock</t>
  </si>
  <si>
    <t>LOAN</t>
  </si>
  <si>
    <t>Manhattan Bridge Capital Inc</t>
  </si>
  <si>
    <t>LOB</t>
  </si>
  <si>
    <t>Live Oak Bancshares Inc. Common Stock</t>
  </si>
  <si>
    <t>LOCO</t>
  </si>
  <si>
    <t>El Pollo Loco Holdings Inc. Common Stock</t>
  </si>
  <si>
    <t>LOGC</t>
  </si>
  <si>
    <t>LogicBio Therapeutics Inc. Common Stock</t>
  </si>
  <si>
    <t>LOGI</t>
  </si>
  <si>
    <t>Logitech International S.A. Ordinary Shares</t>
  </si>
  <si>
    <t>LOOP</t>
  </si>
  <si>
    <t>Loop Industries Inc. Common Stock</t>
  </si>
  <si>
    <t>LOPE</t>
  </si>
  <si>
    <t>Grand Canyon Education Inc. Common Stock</t>
  </si>
  <si>
    <t>LORL</t>
  </si>
  <si>
    <t>Loral Space and Communications Inc. Common Stock</t>
  </si>
  <si>
    <t>LOTZ</t>
  </si>
  <si>
    <t>CarLotz Inc. Class A Common Stock</t>
  </si>
  <si>
    <t>LOTZW</t>
  </si>
  <si>
    <t>CarLotz Inc. Warrant</t>
  </si>
  <si>
    <t>LOVE</t>
  </si>
  <si>
    <t>The Lovesac Company Common Stock</t>
  </si>
  <si>
    <t>LPCN</t>
  </si>
  <si>
    <t>Lipocine Inc. Common Stock</t>
  </si>
  <si>
    <t>LPLA</t>
  </si>
  <si>
    <t>LPL Financial Holdings Inc. Common Stock</t>
  </si>
  <si>
    <t>LPRO</t>
  </si>
  <si>
    <t>Open Lending Corporation Class A Common Stock</t>
  </si>
  <si>
    <t>LPSN</t>
  </si>
  <si>
    <t>LivePerson Inc. Common Stock</t>
  </si>
  <si>
    <t>LPTH</t>
  </si>
  <si>
    <t>LightPath Technologies Inc. Class A Common Stock</t>
  </si>
  <si>
    <t>LPTX</t>
  </si>
  <si>
    <t>Leap Therapeutics Inc. Common Stock</t>
  </si>
  <si>
    <t>LQDA</t>
  </si>
  <si>
    <t>Liquidia Corporation Common Stock</t>
  </si>
  <si>
    <t>LQDT</t>
  </si>
  <si>
    <t>Liquidity Services Inc. Common Stock</t>
  </si>
  <si>
    <t>LRCX</t>
  </si>
  <si>
    <t>Lam Research Corporation Common Stock</t>
  </si>
  <si>
    <t>LRFC</t>
  </si>
  <si>
    <t>Logan Ridge Finance Corporation Common Stock</t>
  </si>
  <si>
    <t>LRMR</t>
  </si>
  <si>
    <t>Larimar Therapeutics Inc. Common Stock</t>
  </si>
  <si>
    <t>LSAQ</t>
  </si>
  <si>
    <t>LifeSci Acquisition II Corp. Common Stock</t>
  </si>
  <si>
    <t>LSBK</t>
  </si>
  <si>
    <t>Lake Shore Bancorp Inc. Common Stock</t>
  </si>
  <si>
    <t>LSCC</t>
  </si>
  <si>
    <t>Lattice Semiconductor Corporation Common Stock</t>
  </si>
  <si>
    <t>LSEA</t>
  </si>
  <si>
    <t>Landsea Homes Corporation Common Stock</t>
  </si>
  <si>
    <t>LSEAW</t>
  </si>
  <si>
    <t>Landsea Homes Corporation Warrant</t>
  </si>
  <si>
    <t>LSTR</t>
  </si>
  <si>
    <t>Landstar System Inc. Common Stock</t>
  </si>
  <si>
    <t>LSXMA</t>
  </si>
  <si>
    <t>Liberty Media Corporation Series A Liberty SiriusXM Common Stock</t>
  </si>
  <si>
    <t>LSXMK</t>
  </si>
  <si>
    <t>Liberty Media Corporation Series C Liberty SiriusXM Common Stock</t>
  </si>
  <si>
    <t>LTBR</t>
  </si>
  <si>
    <t>Lightbridge Corporation Common Stock</t>
  </si>
  <si>
    <t>LTCH</t>
  </si>
  <si>
    <t>Latch Inc. Common Stock</t>
  </si>
  <si>
    <t>LTCHW</t>
  </si>
  <si>
    <t>Latch Inc. Warrant expiring 6/4/2026</t>
  </si>
  <si>
    <t>LTRN</t>
  </si>
  <si>
    <t>Lantern Pharma Inc. Common Stock</t>
  </si>
  <si>
    <t>LTRPA</t>
  </si>
  <si>
    <t>Liberty TripAdvisor Holdings Inc. Series A Common Stock</t>
  </si>
  <si>
    <t>LTRPB</t>
  </si>
  <si>
    <t>Liberty TripAdvisor Holdings Inc. Series B Common Stock</t>
  </si>
  <si>
    <t>LTRX</t>
  </si>
  <si>
    <t>Lantronix Inc. Common Stock</t>
  </si>
  <si>
    <t>LULU</t>
  </si>
  <si>
    <t>lululemon athletica inc. Common Stock</t>
  </si>
  <si>
    <t>LUMO</t>
  </si>
  <si>
    <t>Lumos Pharma Inc. Common Stock</t>
  </si>
  <si>
    <t>LUNA</t>
  </si>
  <si>
    <t>Luna Innovations Incorporated Common Stock</t>
  </si>
  <si>
    <t>LUNG</t>
  </si>
  <si>
    <t>Pulmonx Corporation Common Stock</t>
  </si>
  <si>
    <t>LUXA</t>
  </si>
  <si>
    <t>Lux Health Tech Acquisition Corp. Class A Common Stock</t>
  </si>
  <si>
    <t>LUXAU</t>
  </si>
  <si>
    <t>Lux Health Tech Acquisition Corp. Units</t>
  </si>
  <si>
    <t>LUXAW</t>
  </si>
  <si>
    <t>Lux Health Tech Acquisition Corp. Warrants</t>
  </si>
  <si>
    <t>LVOX</t>
  </si>
  <si>
    <t>LiveVox Holding Inc. Class A Common Stock</t>
  </si>
  <si>
    <t>LVOXW</t>
  </si>
  <si>
    <t>LiveVox Holding Inc. Warrant</t>
  </si>
  <si>
    <t>LVRA</t>
  </si>
  <si>
    <t>Levere Holdings Corp. Class A Ordinary Shares</t>
  </si>
  <si>
    <t>LVTX</t>
  </si>
  <si>
    <t>LAVA Therapeutics N.V. Ordinary Shares</t>
  </si>
  <si>
    <t>LWAC</t>
  </si>
  <si>
    <t>Locust Walk Acquisition Corp. Class A Common Stock</t>
  </si>
  <si>
    <t>LWACU</t>
  </si>
  <si>
    <t>Locust Walk Acquisition Corp. Unit</t>
  </si>
  <si>
    <t>LWACW</t>
  </si>
  <si>
    <t>Locust Walk Acquisition Corp. Warrant</t>
  </si>
  <si>
    <t>LWAY</t>
  </si>
  <si>
    <t>Lifeway Foods Inc. Common Stock</t>
  </si>
  <si>
    <t>LX</t>
  </si>
  <si>
    <t>LexinFintech Holdings Ltd. American Depositary Shares</t>
  </si>
  <si>
    <t>LXEH</t>
  </si>
  <si>
    <t>Lixiang Education Holding Co. Ltd. American Depositary Shares</t>
  </si>
  <si>
    <t>LXRX</t>
  </si>
  <si>
    <t>Lexicon Pharmaceuticals Inc. Common Stock</t>
  </si>
  <si>
    <t>LYEL</t>
  </si>
  <si>
    <t>Lyell Immunopharma Inc. Common Stock</t>
  </si>
  <si>
    <t>LYFT</t>
  </si>
  <si>
    <t>Lyft Inc. Class A Common Stock</t>
  </si>
  <si>
    <t>LYL</t>
  </si>
  <si>
    <t>Dragon Victory International Limited Ordinary Shares</t>
  </si>
  <si>
    <t>LYRA</t>
  </si>
  <si>
    <t>Lyra Therapeutics Inc. Common Stock</t>
  </si>
  <si>
    <t>LYTS</t>
  </si>
  <si>
    <t>LSI Industries Inc. Common Stock</t>
  </si>
  <si>
    <t>LZ</t>
  </si>
  <si>
    <t>LegalZoom.com Inc. Common Stock</t>
  </si>
  <si>
    <t>MAAC</t>
  </si>
  <si>
    <t>Montes Archimedes Acquisition Corp. Class A Common Stock</t>
  </si>
  <si>
    <t>MAACU</t>
  </si>
  <si>
    <t>Montes Archimedes Acquisition Corp. Unit</t>
  </si>
  <si>
    <t>MAACW</t>
  </si>
  <si>
    <t>Montes Archimedes Acquisition Corp. Warrant</t>
  </si>
  <si>
    <t>MACA</t>
  </si>
  <si>
    <t>Moringa Acquisition Corp Class A Ordinary Shares</t>
  </si>
  <si>
    <t>MACAU</t>
  </si>
  <si>
    <t>Moringa Acquisition Corp Units</t>
  </si>
  <si>
    <t>MACAW</t>
  </si>
  <si>
    <t>Moringa Acquisition Corp Warrant</t>
  </si>
  <si>
    <t>MACK</t>
  </si>
  <si>
    <t>Merrimack Pharmaceuticals Inc. Common Stock</t>
  </si>
  <si>
    <t>MACQ</t>
  </si>
  <si>
    <t>MCAP Acquisition Corporation Class A Common Stock</t>
  </si>
  <si>
    <t>MACQU</t>
  </si>
  <si>
    <t>MCAP Acquisition Corporation Unit</t>
  </si>
  <si>
    <t>MACQW</t>
  </si>
  <si>
    <t>MCAP Acquisition Corporation Warrants</t>
  </si>
  <si>
    <t>MACU</t>
  </si>
  <si>
    <t>Mallard Acquisition Corp. Common stock</t>
  </si>
  <si>
    <t>MACUW</t>
  </si>
  <si>
    <t>Mallard Acquisition Corp. Warrant</t>
  </si>
  <si>
    <t>MAGS</t>
  </si>
  <si>
    <t>Magal Security Systems Ltd. Ordinary Shares</t>
  </si>
  <si>
    <t>MANH</t>
  </si>
  <si>
    <t>Manhattan Associates Inc. Common Stock</t>
  </si>
  <si>
    <t>MANT</t>
  </si>
  <si>
    <t>ManTech International Corporation Common Stock $0.01 Par Value</t>
  </si>
  <si>
    <t>MAPS</t>
  </si>
  <si>
    <t>WM Technology Inc. Class A Common Stock</t>
  </si>
  <si>
    <t>MAPSW</t>
  </si>
  <si>
    <t>WM Technology Inc. Warrants</t>
  </si>
  <si>
    <t>MAQC</t>
  </si>
  <si>
    <t>Maquia Capital Acquisition Corporation Class A Common Stock</t>
  </si>
  <si>
    <t>MAQCU</t>
  </si>
  <si>
    <t>Maquia Capital Acquisition Corporation Unit</t>
  </si>
  <si>
    <t>MAQCW</t>
  </si>
  <si>
    <t>Maquia Capital Acquisition Corporation Warrant</t>
  </si>
  <si>
    <t>MAR</t>
  </si>
  <si>
    <t>Marriott International Class A Common Stock</t>
  </si>
  <si>
    <t>MARA</t>
  </si>
  <si>
    <t>Marathon Digital Holdings Inc. Common Stock</t>
  </si>
  <si>
    <t>MARK</t>
  </si>
  <si>
    <t>Remark Holdings Inc. Common Stock</t>
  </si>
  <si>
    <t>MARPS</t>
  </si>
  <si>
    <t>Marine Petroleum Trust Units of Beneficial Interest</t>
  </si>
  <si>
    <t>MASI</t>
  </si>
  <si>
    <t>Masimo Corporation Common Stock</t>
  </si>
  <si>
    <t>MASS</t>
  </si>
  <si>
    <t>908 Devices Inc. Common Stock</t>
  </si>
  <si>
    <t>MAT</t>
  </si>
  <si>
    <t>Mattel Inc. Common Stock</t>
  </si>
  <si>
    <t>MATW</t>
  </si>
  <si>
    <t>Matthews International Corporation Class A Common Stock</t>
  </si>
  <si>
    <t>MAXN</t>
  </si>
  <si>
    <t>Maxeon Solar Technologies Ltd. Ordinary Shares</t>
  </si>
  <si>
    <t>MAYS</t>
  </si>
  <si>
    <t>J. W. Mays Inc. Common Stock</t>
  </si>
  <si>
    <t>MBCN</t>
  </si>
  <si>
    <t>Middlefield Banc Corp. Common Stock</t>
  </si>
  <si>
    <t>MBII</t>
  </si>
  <si>
    <t>Marrone Bio Innovations Inc. Common Stock</t>
  </si>
  <si>
    <t>MBIN</t>
  </si>
  <si>
    <t>Merchants Bancorp Common Stock</t>
  </si>
  <si>
    <t>MBINN</t>
  </si>
  <si>
    <t>Merchants Bancorp Depositary Shares Preferred Series C</t>
  </si>
  <si>
    <t>MBINO</t>
  </si>
  <si>
    <t>Merchants Bancorp Depositary Shares Each Representing a 1/40th Interest in a Share of Series B  Fixed-to-Floating Rate</t>
  </si>
  <si>
    <t>MBINP</t>
  </si>
  <si>
    <t>Merchants Bancorp 7.00% Fixed-to-Floating Rate Series A Non-Cumulative Perpetual Preferred Stock</t>
  </si>
  <si>
    <t>MBIO</t>
  </si>
  <si>
    <t>Mustang Bio Inc. Common Stock</t>
  </si>
  <si>
    <t>MBNKP</t>
  </si>
  <si>
    <t>Medallion Bank Fixed-to-Floating Rate Non-Cumulative Perpetual Preferred Stock Series F</t>
  </si>
  <si>
    <t>MBOT</t>
  </si>
  <si>
    <t>Microbot Medical Inc. Common Stock</t>
  </si>
  <si>
    <t>MBRX</t>
  </si>
  <si>
    <t>Moleculin Biotech Inc. Common Stock</t>
  </si>
  <si>
    <t>MBTC</t>
  </si>
  <si>
    <t>Nocturne Acquisition Corporation Ordinary Shares</t>
  </si>
  <si>
    <t>MBTCR</t>
  </si>
  <si>
    <t>Nocturne Acquisition Corporation Right</t>
  </si>
  <si>
    <t>MBUU</t>
  </si>
  <si>
    <t>Malibu Boats Inc. Class A Common Stock</t>
  </si>
  <si>
    <t>MBWM</t>
  </si>
  <si>
    <t>Mercantile Bank Corporation Common Stock</t>
  </si>
  <si>
    <t>MCAD</t>
  </si>
  <si>
    <t>Mountain Crest Acquisition Corp. II Common Stock</t>
  </si>
  <si>
    <t>MCADR</t>
  </si>
  <si>
    <t>Mountain Crest Acquisition Corp. II Right</t>
  </si>
  <si>
    <t>MCAE</t>
  </si>
  <si>
    <t>Mountain Crest Acquisition Corp. III Common Stock</t>
  </si>
  <si>
    <t>MCAER</t>
  </si>
  <si>
    <t>Mountain Crest Acquisition Corp. III Right</t>
  </si>
  <si>
    <t>MCAEU</t>
  </si>
  <si>
    <t>Mountain Crest Acquisition Corp. III Unit</t>
  </si>
  <si>
    <t>MCAF</t>
  </si>
  <si>
    <t>Mountain Crest Acquisition Corp. IV Common Stock</t>
  </si>
  <si>
    <t>MCAFR</t>
  </si>
  <si>
    <t>Mountain Crest Acquisition Corp. IV Rights</t>
  </si>
  <si>
    <t>MCAFU</t>
  </si>
  <si>
    <t>Mountain Crest Acquisition Corp. IV Unit</t>
  </si>
  <si>
    <t>MCBC</t>
  </si>
  <si>
    <t>Macatawa Bank Corporation Common Stock</t>
  </si>
  <si>
    <t>MCBS</t>
  </si>
  <si>
    <t>MetroCity Bankshares Inc. Common Stock</t>
  </si>
  <si>
    <t>MCFE</t>
  </si>
  <si>
    <t>McAfee Corp. Class A Common Stock</t>
  </si>
  <si>
    <t>MCFT</t>
  </si>
  <si>
    <t>MasterCraft Boat Holdings Inc. Common Stock</t>
  </si>
  <si>
    <t>MCHP</t>
  </si>
  <si>
    <t>Microchip Technology Incorporated Common Stock</t>
  </si>
  <si>
    <t>MCHX</t>
  </si>
  <si>
    <t>Marchex Inc. Class B Common Stock</t>
  </si>
  <si>
    <t>MCMJ</t>
  </si>
  <si>
    <t>Merida Merger Corp. I Common Stock</t>
  </si>
  <si>
    <t>MCMJW</t>
  </si>
  <si>
    <t>Merida Merger Corp. I Warrant</t>
  </si>
  <si>
    <t>MCRB</t>
  </si>
  <si>
    <t>Seres Therapeutics Inc. Common Stock</t>
  </si>
  <si>
    <t>MCRI</t>
  </si>
  <si>
    <t>Monarch Casino &amp; Resort Inc. Common Stock</t>
  </si>
  <si>
    <t>MDB</t>
  </si>
  <si>
    <t>MongoDB Inc. Class A Common Stock</t>
  </si>
  <si>
    <t>MDGL</t>
  </si>
  <si>
    <t>Madrigal Pharmaceuticals Inc. Common Stock</t>
  </si>
  <si>
    <t>MDGS</t>
  </si>
  <si>
    <t>Medigus Ltd. American Depositary Shares</t>
  </si>
  <si>
    <t>MDGSW</t>
  </si>
  <si>
    <t>Medigus Ltd. Series C Warrant</t>
  </si>
  <si>
    <t>MDIA</t>
  </si>
  <si>
    <t>Mediaco Holding Inc. Class A Common Stock</t>
  </si>
  <si>
    <t>MDJH</t>
  </si>
  <si>
    <t>MDJM LTD Ordinary Share</t>
  </si>
  <si>
    <t>MDLZ</t>
  </si>
  <si>
    <t>Mondelez International Inc. Class A Common Stock</t>
  </si>
  <si>
    <t>MDNA</t>
  </si>
  <si>
    <t>Medicenna Therapeutics Corp. Common Shares</t>
  </si>
  <si>
    <t>MDRR</t>
  </si>
  <si>
    <t>Medalist Diversified REIT Inc. Common Stock</t>
  </si>
  <si>
    <t>MDRRP</t>
  </si>
  <si>
    <t>Medalist Diversified REIT Inc. Series A Cumulative Redeemable Preferred Stock</t>
  </si>
  <si>
    <t>MDRX</t>
  </si>
  <si>
    <t>Allscripts Healthcare Solutions Inc. Common Stock</t>
  </si>
  <si>
    <t>MDVL</t>
  </si>
  <si>
    <t>MedAvail Holdings Inc. Common Stock</t>
  </si>
  <si>
    <t>MDWD</t>
  </si>
  <si>
    <t>MediWound Ltd. Ordinary Shares</t>
  </si>
  <si>
    <t>MDWT</t>
  </si>
  <si>
    <t>Midwest Holding Inc. Common Stock</t>
  </si>
  <si>
    <t>MDXG</t>
  </si>
  <si>
    <t>MiMedx Group Inc Common Stock</t>
  </si>
  <si>
    <t>ME</t>
  </si>
  <si>
    <t>23andMe Holding Co. Class A Common Stock</t>
  </si>
  <si>
    <t>MEACU</t>
  </si>
  <si>
    <t>Mercury Ecommerce Acquisition Corp Unit</t>
  </si>
  <si>
    <t>MEDP</t>
  </si>
  <si>
    <t>Medpace Holdings Inc. Common Stock</t>
  </si>
  <si>
    <t>MEDS</t>
  </si>
  <si>
    <t>TRxADE HEALTH Inc. Common Stock</t>
  </si>
  <si>
    <t>MEIP</t>
  </si>
  <si>
    <t>MEI Pharma Inc. Common Stock</t>
  </si>
  <si>
    <t>MELI</t>
  </si>
  <si>
    <t>MercadoLibre Inc. Common Stock</t>
  </si>
  <si>
    <t>MEOH</t>
  </si>
  <si>
    <t>Methanex Corporation Common Stock</t>
  </si>
  <si>
    <t>MERC</t>
  </si>
  <si>
    <t>Mercer International Inc. Common Stock</t>
  </si>
  <si>
    <t>MESA</t>
  </si>
  <si>
    <t>Mesa Air Group Inc. Common Stock</t>
  </si>
  <si>
    <t>MESO</t>
  </si>
  <si>
    <t>Mesoblast Limited American Depositary Shares</t>
  </si>
  <si>
    <t>METC</t>
  </si>
  <si>
    <t>Ramaco Resources Inc. Common Stock</t>
  </si>
  <si>
    <t>METCL</t>
  </si>
  <si>
    <t>Ramaco Resources Inc. 9.00% Senior Notes due 2026</t>
  </si>
  <si>
    <t>METX</t>
  </si>
  <si>
    <t>Meten EdtechX Education Group Ltd. Ordinary Shares</t>
  </si>
  <si>
    <t>METXW</t>
  </si>
  <si>
    <t>Meten EdtechX Education Group Ltd. Warrant</t>
  </si>
  <si>
    <t>MEUSW</t>
  </si>
  <si>
    <t>23andMe Holding Co. Warrant</t>
  </si>
  <si>
    <t>MF</t>
  </si>
  <si>
    <t>Missfresh Limited American Depositary Shares</t>
  </si>
  <si>
    <t>MFH</t>
  </si>
  <si>
    <t>Mercurity Fintech Holding Inc. ADS</t>
  </si>
  <si>
    <t>MFIN</t>
  </si>
  <si>
    <t>Medallion Financial Corp. Common Stock</t>
  </si>
  <si>
    <t>MFNC</t>
  </si>
  <si>
    <t>Mackinac Financial Corporation Common Stock</t>
  </si>
  <si>
    <t>MGEE</t>
  </si>
  <si>
    <t>MGE Energy Inc</t>
  </si>
  <si>
    <t>MGI</t>
  </si>
  <si>
    <t>Moneygram International Inc. Common Stock</t>
  </si>
  <si>
    <t>MGIC</t>
  </si>
  <si>
    <t>Magic Software Enterprises Ltd. Ordinary Shares</t>
  </si>
  <si>
    <t>MGLN</t>
  </si>
  <si>
    <t>Magellan Health Inc. Common Stock</t>
  </si>
  <si>
    <t>MGNI</t>
  </si>
  <si>
    <t>Magnite Inc. Common Stock</t>
  </si>
  <si>
    <t>MGNX</t>
  </si>
  <si>
    <t>MacroGenics Inc. Common Stock</t>
  </si>
  <si>
    <t>MGPI</t>
  </si>
  <si>
    <t>MGP Ingredients Inc.</t>
  </si>
  <si>
    <t>MGRC</t>
  </si>
  <si>
    <t>McGrath RentCorp Common Stock</t>
  </si>
  <si>
    <t>MGTA</t>
  </si>
  <si>
    <t>Magenta Therapeutics Inc. Common Stock</t>
  </si>
  <si>
    <t>MGTX</t>
  </si>
  <si>
    <t>MeiraGTx Holdings plc Ordinary Shares</t>
  </si>
  <si>
    <t>MGYR</t>
  </si>
  <si>
    <t>Magyar Bancorp Inc. Common Stock</t>
  </si>
  <si>
    <t>MHLD</t>
  </si>
  <si>
    <t>Maiden Holdings Ltd.</t>
  </si>
  <si>
    <t>MICT</t>
  </si>
  <si>
    <t>MICT Inc. Common Stock</t>
  </si>
  <si>
    <t>MIDD</t>
  </si>
  <si>
    <t>Middleby Corporation (The) Common Stock</t>
  </si>
  <si>
    <t>MILE</t>
  </si>
  <si>
    <t>Metromile Inc. Common Stock</t>
  </si>
  <si>
    <t>MILEW</t>
  </si>
  <si>
    <t>Metromile Inc. Warrant</t>
  </si>
  <si>
    <t>MIME</t>
  </si>
  <si>
    <t>Mimecast Limited Ordinary Shares</t>
  </si>
  <si>
    <t>MIND</t>
  </si>
  <si>
    <t>MIND Technology Inc. Common Stock (DE)</t>
  </si>
  <si>
    <t>MINDP</t>
  </si>
  <si>
    <t>MIND Technology Inc. Series A 9.00% Series A Cumulative Preferred Stock (DE)</t>
  </si>
  <si>
    <t>MINM</t>
  </si>
  <si>
    <t>Minim Inc. Common Stock</t>
  </si>
  <si>
    <t>MIRM</t>
  </si>
  <si>
    <t>Mirum Pharmaceuticals Inc. Common Stock</t>
  </si>
  <si>
    <t>MIRO</t>
  </si>
  <si>
    <t>Miromatrix Medical Inc. Common Stock</t>
  </si>
  <si>
    <t>MIST</t>
  </si>
  <si>
    <t>Milestone Pharmaceuticals Inc. Common Shares</t>
  </si>
  <si>
    <t>MITAU</t>
  </si>
  <si>
    <t>Coliseum Acquisition Corp. Unit</t>
  </si>
  <si>
    <t>MITC</t>
  </si>
  <si>
    <t>MeaTech 3D Ltd. American Depositary Shares</t>
  </si>
  <si>
    <t>MITK</t>
  </si>
  <si>
    <t>Mitek Systems Inc. Common Stock</t>
  </si>
  <si>
    <t>MITO</t>
  </si>
  <si>
    <t>Stealth BioTherapeutics Corp. ADS</t>
  </si>
  <si>
    <t>MKD</t>
  </si>
  <si>
    <t>Molecular Data Inc. American Depositary Shares</t>
  </si>
  <si>
    <t>MKSI</t>
  </si>
  <si>
    <t>MKS Instruments Inc. Common Stock</t>
  </si>
  <si>
    <t>MKTW</t>
  </si>
  <si>
    <t>MarketWise Inc. Class A Common Stock</t>
  </si>
  <si>
    <t>MKTWW</t>
  </si>
  <si>
    <t>MarketWise Inc. Warrant</t>
  </si>
  <si>
    <t>MKTX</t>
  </si>
  <si>
    <t>MarketAxess Holdings Inc. Common Stock</t>
  </si>
  <si>
    <t>MKTY</t>
  </si>
  <si>
    <t>Mechanical Technology Incorporated Common Stock (Nevada)</t>
  </si>
  <si>
    <t>MLAB</t>
  </si>
  <si>
    <t>Mesa Laboratories Inc. Common Stock</t>
  </si>
  <si>
    <t>MLAC</t>
  </si>
  <si>
    <t>Malacca Straits Acquisition Company Limited Class A Ordinary Shares</t>
  </si>
  <si>
    <t>MLCO</t>
  </si>
  <si>
    <t>Melco Resorts &amp; Entertainment Limited American Depositary Shares</t>
  </si>
  <si>
    <t>MLHR</t>
  </si>
  <si>
    <t>Herman Miller Inc. Common Stock</t>
  </si>
  <si>
    <t>MLVF</t>
  </si>
  <si>
    <t>Malvern Bancorp Inc. Common Stock</t>
  </si>
  <si>
    <t>MMAC</t>
  </si>
  <si>
    <t>MMA Capital Holdings Inc. Common Stock</t>
  </si>
  <si>
    <t>MMAT</t>
  </si>
  <si>
    <t>Meta Materials Inc. Common Stock</t>
  </si>
  <si>
    <t>MMLP</t>
  </si>
  <si>
    <t>Martin Midstream Partners L.P. Limited Partnership</t>
  </si>
  <si>
    <t>MMMB</t>
  </si>
  <si>
    <t>MamaMancini's Holdings Inc. Common Stock</t>
  </si>
  <si>
    <t>MMSI</t>
  </si>
  <si>
    <t>Merit Medical Systems Inc. Common Stock</t>
  </si>
  <si>
    <t>MMYT</t>
  </si>
  <si>
    <t>MakeMyTrip Limited Ordinary Shares</t>
  </si>
  <si>
    <t>MNDO</t>
  </si>
  <si>
    <t>MIND C.T.I. Ltd. Ordinary Shares</t>
  </si>
  <si>
    <t>MNDY</t>
  </si>
  <si>
    <t>monday.com Ltd. Ordinary Shares</t>
  </si>
  <si>
    <t>MNKD</t>
  </si>
  <si>
    <t>MannKind Corporation Common Stock</t>
  </si>
  <si>
    <t>MNMD</t>
  </si>
  <si>
    <t>Mind Medicine (MindMed) Inc. Subordinate Voting Shares</t>
  </si>
  <si>
    <t>MNOV</t>
  </si>
  <si>
    <t>Medicinova Inc Common Stock</t>
  </si>
  <si>
    <t>MNPR</t>
  </si>
  <si>
    <t>Monopar Therapeutics Inc. Common Stock</t>
  </si>
  <si>
    <t>MNRO</t>
  </si>
  <si>
    <t>Monro Inc. Common Stock</t>
  </si>
  <si>
    <t>MNSB</t>
  </si>
  <si>
    <t>MainStreet Bancshares Inc. Common Stock</t>
  </si>
  <si>
    <t>MNSBP</t>
  </si>
  <si>
    <t>MainStreet Bancshares Inc. Depositary Shares</t>
  </si>
  <si>
    <t>MNST</t>
  </si>
  <si>
    <t>Monster Beverage Corporation</t>
  </si>
  <si>
    <t>MNTK</t>
  </si>
  <si>
    <t>Montauk Renewables Inc. Common Stock</t>
  </si>
  <si>
    <t>MNTV</t>
  </si>
  <si>
    <t>Momentive Global Inc. Common Stock</t>
  </si>
  <si>
    <t>MNTX</t>
  </si>
  <si>
    <t>Manitex International Inc. Common Stock</t>
  </si>
  <si>
    <t>MODV</t>
  </si>
  <si>
    <t>ModivCare Inc. Common Stock</t>
  </si>
  <si>
    <t>MOFG</t>
  </si>
  <si>
    <t>MidWestOne Financial Gp Common Stock</t>
  </si>
  <si>
    <t>MOGO</t>
  </si>
  <si>
    <t>Mogo Inc. Common Shares</t>
  </si>
  <si>
    <t>MOHO</t>
  </si>
  <si>
    <t>ECMOHO Limited American Depositary Shares</t>
  </si>
  <si>
    <t>MOLN</t>
  </si>
  <si>
    <t>Molecular Partners AG American Depositary Shares</t>
  </si>
  <si>
    <t>MOMO</t>
  </si>
  <si>
    <t>Hello Group Inc. American Depositary Shares</t>
  </si>
  <si>
    <t>MON</t>
  </si>
  <si>
    <t>Monument Circle Acquisition Corp. Class A Common Stock</t>
  </si>
  <si>
    <t>MONCU</t>
  </si>
  <si>
    <t>Monument Circle Acquisition Corp. Unit</t>
  </si>
  <si>
    <t>MONCW</t>
  </si>
  <si>
    <t>Monument Circle Acquisition Corp. Warrant</t>
  </si>
  <si>
    <t>MOR</t>
  </si>
  <si>
    <t>MorphoSys AG American Depositary Shares</t>
  </si>
  <si>
    <t>MORF</t>
  </si>
  <si>
    <t>Morphic Holding Inc. Common Stock</t>
  </si>
  <si>
    <t>MORN</t>
  </si>
  <si>
    <t>Morningstar Inc. Common Stock</t>
  </si>
  <si>
    <t>MOSY</t>
  </si>
  <si>
    <t>MoSys Inc. Common Stock</t>
  </si>
  <si>
    <t>MOTN</t>
  </si>
  <si>
    <t>Motion Acquisition Corp. Class A Common Stock</t>
  </si>
  <si>
    <t>MOTNW</t>
  </si>
  <si>
    <t>Motion Acquisition Corp. Warrants to purchase one Class A common</t>
  </si>
  <si>
    <t>MOTS</t>
  </si>
  <si>
    <t>Motus GI Holdings Inc. Common Stock</t>
  </si>
  <si>
    <t>MOVE</t>
  </si>
  <si>
    <t>Movano Inc. Common Stock</t>
  </si>
  <si>
    <t>MOXC</t>
  </si>
  <si>
    <t>Moxian Inc. Common Stock</t>
  </si>
  <si>
    <t>MPAA</t>
  </si>
  <si>
    <t>Motorcar Parts  of America Inc. Common Stock</t>
  </si>
  <si>
    <t>MPAC</t>
  </si>
  <si>
    <t>Model Performance Acquisition Corp. Class A Ordinary Share</t>
  </si>
  <si>
    <t>MPACU</t>
  </si>
  <si>
    <t>Model Performance Acquisition Corp. Units</t>
  </si>
  <si>
    <t>MPB</t>
  </si>
  <si>
    <t>Mid Penn Bancorp Common Stock</t>
  </si>
  <si>
    <t>MPWR</t>
  </si>
  <si>
    <t>Monolithic Power Systems Inc. Common Stock</t>
  </si>
  <si>
    <t>MQ</t>
  </si>
  <si>
    <t>Marqeta Inc. Class A Common Stock</t>
  </si>
  <si>
    <t>MRAC</t>
  </si>
  <si>
    <t>Marquee Raine Acquisition Corp. Class A Ordinary Shares</t>
  </si>
  <si>
    <t>MRACU</t>
  </si>
  <si>
    <t>Marquee Raine Acquisition Corp. Unit</t>
  </si>
  <si>
    <t>MRACW</t>
  </si>
  <si>
    <t>Marquee Raine Acquisition Corp. Warrant</t>
  </si>
  <si>
    <t>MRAM</t>
  </si>
  <si>
    <t>Everspin Technologies Inc. Common Stock</t>
  </si>
  <si>
    <t>MRBK</t>
  </si>
  <si>
    <t>Meridian Corporation Common Stock</t>
  </si>
  <si>
    <t>MRCC</t>
  </si>
  <si>
    <t>Monroe Capital Corporation Common Stock</t>
  </si>
  <si>
    <t>MRCY</t>
  </si>
  <si>
    <t>Mercury Systems Inc Common Stock</t>
  </si>
  <si>
    <t>MREO</t>
  </si>
  <si>
    <t>Mereo BioPharma Group plc American Depositary Shares</t>
  </si>
  <si>
    <t>MRIN</t>
  </si>
  <si>
    <t>Marin Software Incorporated Common Stock</t>
  </si>
  <si>
    <t>MRKR</t>
  </si>
  <si>
    <t>Marker Therapeutics Inc. Common Stock</t>
  </si>
  <si>
    <t>MRLN</t>
  </si>
  <si>
    <t>Marlin Business Services Corp. Common Stock</t>
  </si>
  <si>
    <t>MRM</t>
  </si>
  <si>
    <t>MEDIROM Healthcare Technologies Inc. American Depositary Share</t>
  </si>
  <si>
    <t>MRNA</t>
  </si>
  <si>
    <t>Moderna Inc. Common Stock</t>
  </si>
  <si>
    <t>MRNS</t>
  </si>
  <si>
    <t>Marinus Pharmaceuticals Inc. Common Stock</t>
  </si>
  <si>
    <t>MRSN</t>
  </si>
  <si>
    <t>Mersana Therapeutics Inc. Common Stock</t>
  </si>
  <si>
    <t>MRTN</t>
  </si>
  <si>
    <t>Marten Transport Ltd. Common Stock</t>
  </si>
  <si>
    <t>MRTX</t>
  </si>
  <si>
    <t>Mirati Therapeutics Inc. Common Stock</t>
  </si>
  <si>
    <t>MRUS</t>
  </si>
  <si>
    <t>Merus N.V. Common Shares</t>
  </si>
  <si>
    <t>MRVI</t>
  </si>
  <si>
    <t>Maravai LifeSciences Holdings Inc. Class A Common Stock</t>
  </si>
  <si>
    <t>MRVL</t>
  </si>
  <si>
    <t>Marvell Technology Inc. Common Stock</t>
  </si>
  <si>
    <t>MSAC</t>
  </si>
  <si>
    <t>Medicus Sciences Acquisition Corp. Class A Ordinary Share</t>
  </si>
  <si>
    <t>MSACW</t>
  </si>
  <si>
    <t>Medicus Sciences Acquisition Corp. Warrant</t>
  </si>
  <si>
    <t>MSBI</t>
  </si>
  <si>
    <t>Midland States Bancorp Inc. Common Stock</t>
  </si>
  <si>
    <t>MSDA</t>
  </si>
  <si>
    <t>MSD Acquisition Corp. Class A Ordinary Shares</t>
  </si>
  <si>
    <t>MSDAU</t>
  </si>
  <si>
    <t>MSD Acquisition Corp. Unit</t>
  </si>
  <si>
    <t>MSDAW</t>
  </si>
  <si>
    <t>MSD Acquisition Corp. Warrant</t>
  </si>
  <si>
    <t>MSEX</t>
  </si>
  <si>
    <t>Middlesex Water Company Common Stock</t>
  </si>
  <si>
    <t>MSFT</t>
  </si>
  <si>
    <t>Microsoft Corporation Common Stock</t>
  </si>
  <si>
    <t>MSGM</t>
  </si>
  <si>
    <t>Motorsport Games Inc. Class A Common Stock</t>
  </si>
  <si>
    <t>MSON</t>
  </si>
  <si>
    <t>MISONIX Inc. Common Stock (DE)</t>
  </si>
  <si>
    <t>MSTR</t>
  </si>
  <si>
    <t>MicroStrategy Incorporated Common Stock Class A</t>
  </si>
  <si>
    <t>MSVB</t>
  </si>
  <si>
    <t>Mid-Southern Bancorp Inc. Common Stock</t>
  </si>
  <si>
    <t>MTAC</t>
  </si>
  <si>
    <t>MedTech Acquisition Corporation Class A Common Stock</t>
  </si>
  <si>
    <t>MTACU</t>
  </si>
  <si>
    <t>MedTech Acquisition Corporation Unit</t>
  </si>
  <si>
    <t>MTACW</t>
  </si>
  <si>
    <t>MedTech Acquisition Corporation Warrant</t>
  </si>
  <si>
    <t>MTBC</t>
  </si>
  <si>
    <t>CareCloud Inc. Common Stock</t>
  </si>
  <si>
    <t>MTBCP</t>
  </si>
  <si>
    <t>CareCloud Inc. 11% Series A Cumulative Redeemable Perpetual Preferred Stock</t>
  </si>
  <si>
    <t>MTC</t>
  </si>
  <si>
    <t>MMTec Inc. Common Shares</t>
  </si>
  <si>
    <t>MTCH</t>
  </si>
  <si>
    <t>Match Group Inc. Common Stock</t>
  </si>
  <si>
    <t>MTCR</t>
  </si>
  <si>
    <t>Metacrine Inc. Common Stock</t>
  </si>
  <si>
    <t>MTEM</t>
  </si>
  <si>
    <t>Molecular Templates Inc. Common Stock</t>
  </si>
  <si>
    <t>MTEX</t>
  </si>
  <si>
    <t>Mannatech Incorporated Common Stock</t>
  </si>
  <si>
    <t>MTLS</t>
  </si>
  <si>
    <t>Materialise NV American Depositary Shares</t>
  </si>
  <si>
    <t>MTP</t>
  </si>
  <si>
    <t>Midatech Pharma PLC American Depositary Shs</t>
  </si>
  <si>
    <t>MTRX</t>
  </si>
  <si>
    <t>Matrix Service Company Common Stock</t>
  </si>
  <si>
    <t>MTSI</t>
  </si>
  <si>
    <t>MACOM Technology Solutions Holdings Inc. Common Stock</t>
  </si>
  <si>
    <t>MTTR</t>
  </si>
  <si>
    <t>Matterport Inc. Class A Common Stock</t>
  </si>
  <si>
    <t>MTTRW</t>
  </si>
  <si>
    <t>Matterport Inc. Warrant</t>
  </si>
  <si>
    <t>MU</t>
  </si>
  <si>
    <t>Micron Technology Inc. Common Stock</t>
  </si>
  <si>
    <t>MUDS</t>
  </si>
  <si>
    <t>Mudrick Capital Acquisition Corporation II Class A Common Stock</t>
  </si>
  <si>
    <t>MUDSU</t>
  </si>
  <si>
    <t>Mudrick Capital Acquisition Corporation II Unit</t>
  </si>
  <si>
    <t>MUDSW</t>
  </si>
  <si>
    <t>Mudrick Capital Acquisition Corporation II Warrant</t>
  </si>
  <si>
    <t>MVBF</t>
  </si>
  <si>
    <t>MVB Financial Corp. Common Stock</t>
  </si>
  <si>
    <t>MVIS</t>
  </si>
  <si>
    <t>MicroVision Inc. Common Stock</t>
  </si>
  <si>
    <t>MVST</t>
  </si>
  <si>
    <t>Microvast Holdings Inc. Common Stock</t>
  </si>
  <si>
    <t>MVSTW</t>
  </si>
  <si>
    <t>Microvast Holdings Inc. Warrants</t>
  </si>
  <si>
    <t>MXCT</t>
  </si>
  <si>
    <t>MaxCyte Inc. Common Stock</t>
  </si>
  <si>
    <t>MXIM</t>
  </si>
  <si>
    <t>Maxim Integrated Products Inc. Common Stock</t>
  </si>
  <si>
    <t>MYFW</t>
  </si>
  <si>
    <t>First Western Financial Inc. Common Stock</t>
  </si>
  <si>
    <t>MYGN</t>
  </si>
  <si>
    <t>Myriad Genetics Inc. Common Stock</t>
  </si>
  <si>
    <t>MYMD</t>
  </si>
  <si>
    <t>MyMD Pharmaceuticals Inc. Common Stock</t>
  </si>
  <si>
    <t>MYPS</t>
  </si>
  <si>
    <t>PLAYSTUDIOS Inc.  Class A Common Stock</t>
  </si>
  <si>
    <t>MYPSW</t>
  </si>
  <si>
    <t>PLAYSTUDIOS Inc. Warrant</t>
  </si>
  <si>
    <t>MYRG</t>
  </si>
  <si>
    <t>MYR Group Inc. Common Stock</t>
  </si>
  <si>
    <t>MYSZ</t>
  </si>
  <si>
    <t>My Size Inc. Common Stock</t>
  </si>
  <si>
    <t>NAAC</t>
  </si>
  <si>
    <t>North Atlantic Acquisition Corporation Class A Ordinary Share</t>
  </si>
  <si>
    <t>NAACU</t>
  </si>
  <si>
    <t>North Atlantic Acquisition Corporation Unit</t>
  </si>
  <si>
    <t>NAACW</t>
  </si>
  <si>
    <t>North Atlantic Acquisition Corporation Warrant</t>
  </si>
  <si>
    <t>NAII</t>
  </si>
  <si>
    <t>Natural Alternatives International Inc. Common Stock</t>
  </si>
  <si>
    <t>NAKD</t>
  </si>
  <si>
    <t>Naked Brand Group Limited Ordinary Shares</t>
  </si>
  <si>
    <t>NAOV</t>
  </si>
  <si>
    <t>NanoVibronix Inc. Common Stock</t>
  </si>
  <si>
    <t>NARI</t>
  </si>
  <si>
    <t>Inari Medical Inc. Common Stock</t>
  </si>
  <si>
    <t>NATH</t>
  </si>
  <si>
    <t>Nathan's Famous Inc. Common Stock</t>
  </si>
  <si>
    <t>NATI</t>
  </si>
  <si>
    <t>National Instruments Corporation Common Stock</t>
  </si>
  <si>
    <t>NATR</t>
  </si>
  <si>
    <t>Nature's Sunshine Products Inc. Common Stock</t>
  </si>
  <si>
    <t>NAUT</t>
  </si>
  <si>
    <t>Nautilus Biotechnolgy Inc. Common Stock</t>
  </si>
  <si>
    <t>NAVI</t>
  </si>
  <si>
    <t>Navient Corporation Common Stock</t>
  </si>
  <si>
    <t>NBEV</t>
  </si>
  <si>
    <t>NewAge Inc. Common Stock (Delaware)</t>
  </si>
  <si>
    <t>NBIX</t>
  </si>
  <si>
    <t>Neurocrine Biosciences Inc. Common Stock</t>
  </si>
  <si>
    <t>NBN</t>
  </si>
  <si>
    <t>Northeast Bank Common Stock</t>
  </si>
  <si>
    <t>NBRV</t>
  </si>
  <si>
    <t>Nabriva Therapeutics plc Ordinary Shares Ireland</t>
  </si>
  <si>
    <t>NBSE</t>
  </si>
  <si>
    <t>NeuBase Therapeutics Inc.  Common Stock</t>
  </si>
  <si>
    <t>NBST</t>
  </si>
  <si>
    <t>Newbury Street Acquisition Corporation Common Stock</t>
  </si>
  <si>
    <t>NBSTU</t>
  </si>
  <si>
    <t>Newbury Street Acquisition Corporation Units</t>
  </si>
  <si>
    <t>NBSTW</t>
  </si>
  <si>
    <t>Newbury Street Acquisition Corporation Warrants</t>
  </si>
  <si>
    <t>NBTB</t>
  </si>
  <si>
    <t>NBT Bancorp Inc. Common Stock</t>
  </si>
  <si>
    <t>NBTX</t>
  </si>
  <si>
    <t>Nanobiotix S.A. American Depositary Shares</t>
  </si>
  <si>
    <t>NCBS</t>
  </si>
  <si>
    <t>Nicolet Bankshares Inc. Common Stock</t>
  </si>
  <si>
    <t>NCMI</t>
  </si>
  <si>
    <t>National CineMedia Inc. Common Stock</t>
  </si>
  <si>
    <t>NCNA</t>
  </si>
  <si>
    <t>NuCana plc American Depositary Share</t>
  </si>
  <si>
    <t>NCNO</t>
  </si>
  <si>
    <t>nCino Inc. Common Stock</t>
  </si>
  <si>
    <t>NCSM</t>
  </si>
  <si>
    <t>NCS Multistage Holdings Inc. Common Stock</t>
  </si>
  <si>
    <t>NCTY</t>
  </si>
  <si>
    <t>The9 Limited American Depository Shares</t>
  </si>
  <si>
    <t>NDAC</t>
  </si>
  <si>
    <t>NightDragon Acquisition Corp. Class A Common stock</t>
  </si>
  <si>
    <t>NDACU</t>
  </si>
  <si>
    <t>NightDragon Acquisition Corp. SCALE Units</t>
  </si>
  <si>
    <t>NDACW</t>
  </si>
  <si>
    <t>NightDragon Acquisition Corp. Warrants to purchase Class A common stock</t>
  </si>
  <si>
    <t>NDAQ</t>
  </si>
  <si>
    <t>Nasdaq Inc. Common Stock</t>
  </si>
  <si>
    <t>NDLS</t>
  </si>
  <si>
    <t>Noodles &amp; Company Class A Common Stock</t>
  </si>
  <si>
    <t>NDRA</t>
  </si>
  <si>
    <t>ENDRA Life Sciences Inc. Common Stock</t>
  </si>
  <si>
    <t>NDRAW</t>
  </si>
  <si>
    <t>ENDRA Life Sciences Inc. Warrants</t>
  </si>
  <si>
    <t>NDSN</t>
  </si>
  <si>
    <t>Nordson Corporation Common Stock</t>
  </si>
  <si>
    <t>NECB</t>
  </si>
  <si>
    <t>NorthEast Community Bancorp Inc. Common Stock</t>
  </si>
  <si>
    <t>NEGG</t>
  </si>
  <si>
    <t>Newegg Commerce Inc. Common Shares</t>
  </si>
  <si>
    <t>NEO</t>
  </si>
  <si>
    <t>NeoGenomics Inc. Common Stock</t>
  </si>
  <si>
    <t>NEOG</t>
  </si>
  <si>
    <t>Neogen Corporation Common Stock</t>
  </si>
  <si>
    <t>NEON</t>
  </si>
  <si>
    <t>Neonode Inc. Common Stock</t>
  </si>
  <si>
    <t>NEPH</t>
  </si>
  <si>
    <t>Nephros Inc. Common Stock</t>
  </si>
  <si>
    <t>NEPT</t>
  </si>
  <si>
    <t>Neptune Wellness Solutions Inc. Ordinary Shares</t>
  </si>
  <si>
    <t>NERV</t>
  </si>
  <si>
    <t>Minerva Neurosciences Inc Common Stock</t>
  </si>
  <si>
    <t>NESR</t>
  </si>
  <si>
    <t>National Energy Services Reunited Corp. Ordinary Shares</t>
  </si>
  <si>
    <t>NESRW</t>
  </si>
  <si>
    <t>National Energy Services Reunited Corp. Warrant</t>
  </si>
  <si>
    <t>NETE</t>
  </si>
  <si>
    <t>Net Element Inc. Common Stock</t>
  </si>
  <si>
    <t>NEWT</t>
  </si>
  <si>
    <t>Newtek Business Services Corp. Common Stock (Maryland)</t>
  </si>
  <si>
    <t>NEWTL</t>
  </si>
  <si>
    <t>Newtek Business Services Corp. 5.75% Notes due 2024</t>
  </si>
  <si>
    <t>NEWTZ</t>
  </si>
  <si>
    <t>Newtek Business Services Corp. 5.50% Notes Due 2026</t>
  </si>
  <si>
    <t>NEXI</t>
  </si>
  <si>
    <t>NexImmune Inc. Common Stock</t>
  </si>
  <si>
    <t>NEXT</t>
  </si>
  <si>
    <t>NextDecade Corporation Common Stock</t>
  </si>
  <si>
    <t>NFBK</t>
  </si>
  <si>
    <t>Northfield Bancorp Inc. Common Stock (Delaware)</t>
  </si>
  <si>
    <t>NFE</t>
  </si>
  <si>
    <t>New Fortress Energy Inc. Class A Common Stock</t>
  </si>
  <si>
    <t>NFLX</t>
  </si>
  <si>
    <t>Netflix Inc. Common Stock</t>
  </si>
  <si>
    <t>NGAC</t>
  </si>
  <si>
    <t>NextGen Acquisition Corporation Class A Ordinary Shares</t>
  </si>
  <si>
    <t>NGACU</t>
  </si>
  <si>
    <t>NextGen Acquisition Corporation Units</t>
  </si>
  <si>
    <t>NGACW</t>
  </si>
  <si>
    <t>NextGen Acquisition Corporation Warrants</t>
  </si>
  <si>
    <t>NGCA</t>
  </si>
  <si>
    <t>NextGen Acquisition Corp. II Class A Ordinary Shares</t>
  </si>
  <si>
    <t>NGCAU</t>
  </si>
  <si>
    <t>NextGen Acquisition Corp. II Units</t>
  </si>
  <si>
    <t>NGCAW</t>
  </si>
  <si>
    <t>NextGen Acquisition Corp. II Warrant</t>
  </si>
  <si>
    <t>NGM</t>
  </si>
  <si>
    <t>NGM Biopharmaceuticals Inc. Common Stock</t>
  </si>
  <si>
    <t>NGMS</t>
  </si>
  <si>
    <t>NeoGames S.A. Ordinary Shares</t>
  </si>
  <si>
    <t>NH</t>
  </si>
  <si>
    <t>NantHealth Inc. Common Stock</t>
  </si>
  <si>
    <t>NHTC</t>
  </si>
  <si>
    <t>Natural Health Trends Corp. Common Stock</t>
  </si>
  <si>
    <t>NICE</t>
  </si>
  <si>
    <t>NICE Ltd American Depositary Shares</t>
  </si>
  <si>
    <t>NICK</t>
  </si>
  <si>
    <t>Nicholas Financial Inc. Common Stock</t>
  </si>
  <si>
    <t>NISN</t>
  </si>
  <si>
    <t>NiSun International Enterprise Development Group Co. Ltd. Class A Common Shares</t>
  </si>
  <si>
    <t>NIU</t>
  </si>
  <si>
    <t>Niu Technologies American Depositary Shares</t>
  </si>
  <si>
    <t>NKLA</t>
  </si>
  <si>
    <t>Nikola Corporation Common Stock</t>
  </si>
  <si>
    <t>NKSH</t>
  </si>
  <si>
    <t>National Bankshares Inc. Common Stock</t>
  </si>
  <si>
    <t>NKTR</t>
  </si>
  <si>
    <t>Nektar Therapeutics  Common Stock</t>
  </si>
  <si>
    <t>NKTX</t>
  </si>
  <si>
    <t>Nkarta Inc. Common Stock</t>
  </si>
  <si>
    <t>NLITU</t>
  </si>
  <si>
    <t>Northern Lights Acquisition Corp. Units</t>
  </si>
  <si>
    <t>NLOK</t>
  </si>
  <si>
    <t>NortonLifeLock Inc. Common Stock</t>
  </si>
  <si>
    <t>NLSP</t>
  </si>
  <si>
    <t>NLS Pharmaceutics Ltd. Ordinary Shares</t>
  </si>
  <si>
    <t>NLSPW</t>
  </si>
  <si>
    <t>NLS Pharmaceutics Ltd. Warrant</t>
  </si>
  <si>
    <t>NLTX</t>
  </si>
  <si>
    <t>Neoleukin Therapeutics Inc. Common Stock</t>
  </si>
  <si>
    <t>NMFC</t>
  </si>
  <si>
    <t>New Mountain Finance Corporation Common Stock</t>
  </si>
  <si>
    <t>NMIH</t>
  </si>
  <si>
    <t>NMI Holdings Inc. Class A Common Stock</t>
  </si>
  <si>
    <t>NMMC</t>
  </si>
  <si>
    <t>North Mountain Merger Corp. Class A Common Stock</t>
  </si>
  <si>
    <t>NMRD</t>
  </si>
  <si>
    <t>Nemaura Medical Inc. Common Stock</t>
  </si>
  <si>
    <t>NMRK</t>
  </si>
  <si>
    <t>Newmark Group Inc. Class A Common Stock</t>
  </si>
  <si>
    <t>NMTC</t>
  </si>
  <si>
    <t>NeuroOne Medical Technologies Corporation Common Stock</t>
  </si>
  <si>
    <t>NMTR</t>
  </si>
  <si>
    <t>9 Meters Biopharma Inc. Common Stock</t>
  </si>
  <si>
    <t>NNBR</t>
  </si>
  <si>
    <t>NN Inc. Common Stock</t>
  </si>
  <si>
    <t>NNDM</t>
  </si>
  <si>
    <t>Nano Dimension Ltd. American Depositary Shares</t>
  </si>
  <si>
    <t>NNOX</t>
  </si>
  <si>
    <t>NANO-X IMAGING LTD Ordinary Shares</t>
  </si>
  <si>
    <t>NOAC</t>
  </si>
  <si>
    <t>Natural Order Acquisition Corp. Common Stock</t>
  </si>
  <si>
    <t>NOACU</t>
  </si>
  <si>
    <t>Natural Order Acquisition Corp. Unit</t>
  </si>
  <si>
    <t>NOACW</t>
  </si>
  <si>
    <t>Natural Order Acquisition Corp. Warrant</t>
  </si>
  <si>
    <t>NODK</t>
  </si>
  <si>
    <t>NI Holdings Inc. Common Stock</t>
  </si>
  <si>
    <t>NOTV</t>
  </si>
  <si>
    <t>Inotiv Inc. Common Stock</t>
  </si>
  <si>
    <t>NOVN</t>
  </si>
  <si>
    <t>Novan Inc. Common Stock</t>
  </si>
  <si>
    <t>NOVT</t>
  </si>
  <si>
    <t>Novanta Inc. Common Stock</t>
  </si>
  <si>
    <t>NPCE</t>
  </si>
  <si>
    <t>Neuropace Inc. Common Stock</t>
  </si>
  <si>
    <t>NRAC</t>
  </si>
  <si>
    <t>Noble Rock Acquisition Corporation Class A Ordinary Share</t>
  </si>
  <si>
    <t>NRACU</t>
  </si>
  <si>
    <t>Noble Rock Acquisition Corporation Unit</t>
  </si>
  <si>
    <t>NRACW</t>
  </si>
  <si>
    <t>Noble Rock Acquisition Corporation Warrant</t>
  </si>
  <si>
    <t>NRBO</t>
  </si>
  <si>
    <t>NeuroBo Pharmaceuticals Inc. Common Stock</t>
  </si>
  <si>
    <t>NRC</t>
  </si>
  <si>
    <t>National Research Corporation Common Stock (Delaware)</t>
  </si>
  <si>
    <t>NRIM</t>
  </si>
  <si>
    <t>Northrim BanCorp Inc Common Stock</t>
  </si>
  <si>
    <t>NRIX</t>
  </si>
  <si>
    <t>Nurix Therapeutics Inc. Common stock</t>
  </si>
  <si>
    <t>NRXP</t>
  </si>
  <si>
    <t>NRX Pharmaceuticals Inc. Common Stock</t>
  </si>
  <si>
    <t>NRXPW</t>
  </si>
  <si>
    <t>NRX Pharmaceuticals Inc. Warrant</t>
  </si>
  <si>
    <t>NSEC</t>
  </si>
  <si>
    <t>National Security Group Inc. Common Stock</t>
  </si>
  <si>
    <t>NSIT</t>
  </si>
  <si>
    <t>Insight Enterprises Inc. Common Stock</t>
  </si>
  <si>
    <t>NSPR</t>
  </si>
  <si>
    <t>InspireMD Inc. Common Stock</t>
  </si>
  <si>
    <t>NSPRZ</t>
  </si>
  <si>
    <t>InspireMD Inc. Series B Warrants</t>
  </si>
  <si>
    <t>NSSC</t>
  </si>
  <si>
    <t>NAPCO Security Technologies Inc. Common Stock</t>
  </si>
  <si>
    <t>NSTG</t>
  </si>
  <si>
    <t>NanoString Technologies Inc. Common Stock</t>
  </si>
  <si>
    <t>NSYS</t>
  </si>
  <si>
    <t>Nortech Systems Incorporated Common Stock</t>
  </si>
  <si>
    <t>NTAP</t>
  </si>
  <si>
    <t>NetApp Inc. Common Stock</t>
  </si>
  <si>
    <t>NTCT</t>
  </si>
  <si>
    <t>NetScout Systems Inc. Common Stock</t>
  </si>
  <si>
    <t>NTES</t>
  </si>
  <si>
    <t>NetEase Inc. American Depositary Shares</t>
  </si>
  <si>
    <t>NTGR</t>
  </si>
  <si>
    <t>NETGEAR Inc. Common Stock</t>
  </si>
  <si>
    <t>NTIC</t>
  </si>
  <si>
    <t>Northern Technologies International Corporation Common Stock</t>
  </si>
  <si>
    <t>NTLA</t>
  </si>
  <si>
    <t>Intellia Therapeutics Inc. Common Stock</t>
  </si>
  <si>
    <t>NTNX</t>
  </si>
  <si>
    <t>Nutanix Inc. Class A Common Stock</t>
  </si>
  <si>
    <t>NTRA</t>
  </si>
  <si>
    <t>Natera Inc. Common Stock</t>
  </si>
  <si>
    <t>NTRS</t>
  </si>
  <si>
    <t>Northern Trust Corporation Common Stock</t>
  </si>
  <si>
    <t>NTRSO</t>
  </si>
  <si>
    <t>Northern Trust Corporation Depositary Shares Each Representing a 1/1000th Interest in a Share of Series E Non-Cumulative Perpetual Preferred Stock</t>
  </si>
  <si>
    <t>NTUS</t>
  </si>
  <si>
    <t>Natus Medical Incorporated Common Stock</t>
  </si>
  <si>
    <t>NTWK</t>
  </si>
  <si>
    <t>NetSol Technologies Inc. Common  Stock</t>
  </si>
  <si>
    <t>NUAN</t>
  </si>
  <si>
    <t>Nuance Communications Inc. Common Stock</t>
  </si>
  <si>
    <t>NURO</t>
  </si>
  <si>
    <t>NeuroMetrix Inc. Common Stock</t>
  </si>
  <si>
    <t>NUVA</t>
  </si>
  <si>
    <t>NuVasive Inc. Common Stock</t>
  </si>
  <si>
    <t>NUVL</t>
  </si>
  <si>
    <t>Nuvalent Inc. Class A Common Stock</t>
  </si>
  <si>
    <t>NUWE</t>
  </si>
  <si>
    <t>Nuwellis Inc. Common Stock</t>
  </si>
  <si>
    <t>NUZE</t>
  </si>
  <si>
    <t>NuZee Inc. Common Stock</t>
  </si>
  <si>
    <t>NVAX</t>
  </si>
  <si>
    <t>Novavax Inc. Common Stock</t>
  </si>
  <si>
    <t>NVCN</t>
  </si>
  <si>
    <t>Neovasc Inc. Common Shares</t>
  </si>
  <si>
    <t>NVCR</t>
  </si>
  <si>
    <t>NovoCure Limited Ordinary Shares</t>
  </si>
  <si>
    <t>NVDA</t>
  </si>
  <si>
    <t>NVIDIA Corporation Common Stock</t>
  </si>
  <si>
    <t>NVEC</t>
  </si>
  <si>
    <t>NVE Corporation Common Stock</t>
  </si>
  <si>
    <t>NVEE</t>
  </si>
  <si>
    <t>NV5 Global Inc. Common Stock</t>
  </si>
  <si>
    <t>NVFY</t>
  </si>
  <si>
    <t>Nova Lifestyle Inc. Common Stock</t>
  </si>
  <si>
    <t>NVIV</t>
  </si>
  <si>
    <t>InVivo Therapeutics Holdings Corp Common Stock</t>
  </si>
  <si>
    <t>NVMI</t>
  </si>
  <si>
    <t>Nova Ltd. Ordinary Shares</t>
  </si>
  <si>
    <t>NVOS</t>
  </si>
  <si>
    <t>Novo Integrated Sciences Inc. Common Stock</t>
  </si>
  <si>
    <t>NVSA</t>
  </si>
  <si>
    <t>New Vista Acquisition Corp Class A Ordinary Shares</t>
  </si>
  <si>
    <t>NVSAU</t>
  </si>
  <si>
    <t>New Vista Acquisition Corp Unit</t>
  </si>
  <si>
    <t>NVSAW</t>
  </si>
  <si>
    <t>New Vista Acquisition Corp. Warrant</t>
  </si>
  <si>
    <t>NVVE</t>
  </si>
  <si>
    <t>Nuvve Holding Corp. Common Stock</t>
  </si>
  <si>
    <t>NVVEW</t>
  </si>
  <si>
    <t>Nuvve Holding Corp. Warrant</t>
  </si>
  <si>
    <t>NWBI</t>
  </si>
  <si>
    <t>Northwest Bancshares Inc. Common Stock</t>
  </si>
  <si>
    <t>NWE</t>
  </si>
  <si>
    <t>NorthWestern Corporation Common Stock</t>
  </si>
  <si>
    <t>NWFL</t>
  </si>
  <si>
    <t>Norwood Financial Corp. Common Stock</t>
  </si>
  <si>
    <t>NWL</t>
  </si>
  <si>
    <t>Newell Brands Inc. Common Stock</t>
  </si>
  <si>
    <t>NWLI</t>
  </si>
  <si>
    <t>National Western Life Group Inc. Class A Common Stock</t>
  </si>
  <si>
    <t>NWPX</t>
  </si>
  <si>
    <t>Northwest Pipe Company Common Stock</t>
  </si>
  <si>
    <t>NWS</t>
  </si>
  <si>
    <t>News Corporation Class B Common Stock</t>
  </si>
  <si>
    <t>NWSA</t>
  </si>
  <si>
    <t>News Corporation Class A Common Stock</t>
  </si>
  <si>
    <t>NXGN</t>
  </si>
  <si>
    <t>NextGen Healthcare Inc. Common Stock</t>
  </si>
  <si>
    <t>NXPI</t>
  </si>
  <si>
    <t>NXP Semiconductors N.V. Common Stock</t>
  </si>
  <si>
    <t>NXST</t>
  </si>
  <si>
    <t>Nexstar Media Group Inc. Class A Common Stock</t>
  </si>
  <si>
    <t>NXTC</t>
  </si>
  <si>
    <t>NextCure Inc. Common Stock</t>
  </si>
  <si>
    <t>NXTD</t>
  </si>
  <si>
    <t>Nxt-ID Inc. Common Stock</t>
  </si>
  <si>
    <t>NXTP</t>
  </si>
  <si>
    <t>NextPlay Technologies Inc. Common Stock</t>
  </si>
  <si>
    <t>NYMT</t>
  </si>
  <si>
    <t>New York Mortgage Trust Inc. Common Stock</t>
  </si>
  <si>
    <t>NYMTL</t>
  </si>
  <si>
    <t>New York Mortgage Trust Inc. 6.875% Series F Fixed-to-Floating Rate Cumulative Redeemable Preferred Stock $0.01 par value per share</t>
  </si>
  <si>
    <t>NYMTM</t>
  </si>
  <si>
    <t>New York Mortgage Trust Inc. 7.875% Series E Fixed-to-Floating Rate Cumulative Redeemable Preferred Stock</t>
  </si>
  <si>
    <t>NYMTN</t>
  </si>
  <si>
    <t>New York Mortgage Trust Inc. 8.00% Series D Fixed-to-Floating Rate Cumulative Redeemable Preferred Stock</t>
  </si>
  <si>
    <t>NYMTP</t>
  </si>
  <si>
    <t>New York Mortgage Trust Inc. 7.75% Series B Cumulative Redeemable Preferred Stock</t>
  </si>
  <si>
    <t>NYMX</t>
  </si>
  <si>
    <t>Nymox Pharmaceutical Corporation Common Stock (Bahamas)</t>
  </si>
  <si>
    <t>NYXH</t>
  </si>
  <si>
    <t>Nyxoah SA Ordinary Shares</t>
  </si>
  <si>
    <t>OAS</t>
  </si>
  <si>
    <t>Oasis Petroleum Inc. Common Stock</t>
  </si>
  <si>
    <t>OB</t>
  </si>
  <si>
    <t>Outbrain Inc. Common Stock</t>
  </si>
  <si>
    <t>OBAS</t>
  </si>
  <si>
    <t>Optibase Ltd. Ordinary Shares</t>
  </si>
  <si>
    <t>OBCI</t>
  </si>
  <si>
    <t>Ocean Bio-Chem Inc. Common Stock</t>
  </si>
  <si>
    <t>OBLG</t>
  </si>
  <si>
    <t>Oblong Inc. Common Stock</t>
  </si>
  <si>
    <t>OBNK</t>
  </si>
  <si>
    <t>Origin Bancorp Inc. Common Stock</t>
  </si>
  <si>
    <t>OBSV</t>
  </si>
  <si>
    <t>ObsEva SA Ordinary Shares</t>
  </si>
  <si>
    <t>OBT</t>
  </si>
  <si>
    <t>Orange County Bancorp Inc. Common Stock</t>
  </si>
  <si>
    <t>OCAXU</t>
  </si>
  <si>
    <t>OCA Acquisition Corp. Unit</t>
  </si>
  <si>
    <t>OCAXW</t>
  </si>
  <si>
    <t>OCA Acquisition Corp. Warrant</t>
  </si>
  <si>
    <t>OCC</t>
  </si>
  <si>
    <t>Optical Cable Corporation Common Stock</t>
  </si>
  <si>
    <t>OCCI</t>
  </si>
  <si>
    <t>OFS Credit Company Inc. Common Stock</t>
  </si>
  <si>
    <t>OCCIO</t>
  </si>
  <si>
    <t>OFS Credit Company Inc. 6.125% Series C Term Preferred Stock</t>
  </si>
  <si>
    <t>OCCIP</t>
  </si>
  <si>
    <t>OFS Credit Company Inc. 6.875% Series A Term Preferred Stock</t>
  </si>
  <si>
    <t>OCDX</t>
  </si>
  <si>
    <t>Ortho Clinical Diagnostics plc Ordinary Shares</t>
  </si>
  <si>
    <t>OCFC</t>
  </si>
  <si>
    <t>OceanFirst Financial Corp. Common Stock</t>
  </si>
  <si>
    <t>OCFCP</t>
  </si>
  <si>
    <t>OceanFirst Financial Corp. Depositary Shares</t>
  </si>
  <si>
    <t>OCG</t>
  </si>
  <si>
    <t>Oriental Culture Holding LTD Ordinary Shares</t>
  </si>
  <si>
    <t>OCGN</t>
  </si>
  <si>
    <t>Ocugen Inc. Common Stock</t>
  </si>
  <si>
    <t>OCSL</t>
  </si>
  <si>
    <t>Oaktree Specialty Lending Corporation Common Stock</t>
  </si>
  <si>
    <t>OCUL</t>
  </si>
  <si>
    <t>Ocular Therapeutix Inc. Common Stock</t>
  </si>
  <si>
    <t>OCUP</t>
  </si>
  <si>
    <t>Ocuphire Pharma Inc. Common Stock</t>
  </si>
  <si>
    <t>OCX</t>
  </si>
  <si>
    <t>Oncocyte Corporation Common Stock</t>
  </si>
  <si>
    <t>ODFL</t>
  </si>
  <si>
    <t>Old Dominion Freight Line Inc. Common Stock</t>
  </si>
  <si>
    <t>ODP</t>
  </si>
  <si>
    <t>The ODP Corporation Common Stock</t>
  </si>
  <si>
    <t>ODT</t>
  </si>
  <si>
    <t>Odonate Therapeutics Inc. Common Stock</t>
  </si>
  <si>
    <t>OEG</t>
  </si>
  <si>
    <t>Orbital Energy Group Inc. Common Stock</t>
  </si>
  <si>
    <t>OEPW</t>
  </si>
  <si>
    <t>One Equity Partners Open Water I Corp. Class A Common Stock</t>
  </si>
  <si>
    <t>OEPWU</t>
  </si>
  <si>
    <t>One Equity Partners Open Water I Corp. Unit</t>
  </si>
  <si>
    <t>OEPWW</t>
  </si>
  <si>
    <t>One Equity Partners Open Water I Corp. Warrant</t>
  </si>
  <si>
    <t>OESX</t>
  </si>
  <si>
    <t>Orion Energy Systems Inc. Common Stock</t>
  </si>
  <si>
    <t>OFED</t>
  </si>
  <si>
    <t>Oconee Federal Financial Corp. Common Stock</t>
  </si>
  <si>
    <t>OFIX</t>
  </si>
  <si>
    <t>Orthofix Medical Inc. Common Stock (DE)</t>
  </si>
  <si>
    <t>OFLX</t>
  </si>
  <si>
    <t>Omega Flex Inc. Common Stock</t>
  </si>
  <si>
    <t>OFS</t>
  </si>
  <si>
    <t>OFS Capital Corporation Common Stock</t>
  </si>
  <si>
    <t>OFSSI</t>
  </si>
  <si>
    <t>OFS Capital Corporation 5.95% Notes due 2026</t>
  </si>
  <si>
    <t>OGI</t>
  </si>
  <si>
    <t>Organigram Holdings Inc. Common Shares</t>
  </si>
  <si>
    <t>OHPAU</t>
  </si>
  <si>
    <t>Orion Acquisition Corp. Unit</t>
  </si>
  <si>
    <t>OHPAW</t>
  </si>
  <si>
    <t>Orion Acquisition Corp. Warrant</t>
  </si>
  <si>
    <t>OIIM</t>
  </si>
  <si>
    <t>O2Micro International Limited American Depositary Shares</t>
  </si>
  <si>
    <t>OKTA</t>
  </si>
  <si>
    <t>Okta Inc. Class A Common Stock</t>
  </si>
  <si>
    <t>OLB</t>
  </si>
  <si>
    <t>The OLB Group Inc. Common Stock</t>
  </si>
  <si>
    <t>OLED</t>
  </si>
  <si>
    <t>Universal Display Corporation Common Stock</t>
  </si>
  <si>
    <t>OLK</t>
  </si>
  <si>
    <t>Olink Holding AB (publ) American Depositary Shares</t>
  </si>
  <si>
    <t>OLLI</t>
  </si>
  <si>
    <t>Ollie's Bargain Outlet Holdings Inc. Common Stock</t>
  </si>
  <si>
    <t>OLMA</t>
  </si>
  <si>
    <t>Olema Pharmaceuticals Inc. Common Stock</t>
  </si>
  <si>
    <t>OM</t>
  </si>
  <si>
    <t>Outset Medical Inc. Common Stock</t>
  </si>
  <si>
    <t>OMAB</t>
  </si>
  <si>
    <t>Grupo Aeroportuario del Centro Norte S.A.B. de C.V. ADS</t>
  </si>
  <si>
    <t>OMCL</t>
  </si>
  <si>
    <t>Omnicell Inc. Common Stock ($0.001 par value)</t>
  </si>
  <si>
    <t>OMEG</t>
  </si>
  <si>
    <t>Omega Alpha SPAC Class A Ordinary Shares</t>
  </si>
  <si>
    <t>OMER</t>
  </si>
  <si>
    <t>Omeros Corporation Common Stock</t>
  </si>
  <si>
    <t>OMEX</t>
  </si>
  <si>
    <t>Odyssey Marine Exploration Inc. Common Stock</t>
  </si>
  <si>
    <t>OMGA</t>
  </si>
  <si>
    <t>Omega Therapeutics Inc. Common Stock</t>
  </si>
  <si>
    <t>OMIC</t>
  </si>
  <si>
    <t>Singular Genomics Systems Inc. Common Stock</t>
  </si>
  <si>
    <t>OMP</t>
  </si>
  <si>
    <t>Oasis Midstream Partners LP Common Units Representing Limited Partner Interests</t>
  </si>
  <si>
    <t>ON</t>
  </si>
  <si>
    <t>ON Semiconductor Corporation Common Stock</t>
  </si>
  <si>
    <t>ONB</t>
  </si>
  <si>
    <t>Old National Bancorp Common Stock</t>
  </si>
  <si>
    <t>ONCR</t>
  </si>
  <si>
    <t>Oncorus Inc. Common Stock</t>
  </si>
  <si>
    <t>ONCS</t>
  </si>
  <si>
    <t>OncoSec Medical Incorporated Common Stock</t>
  </si>
  <si>
    <t>ONCT</t>
  </si>
  <si>
    <t>Oncternal Therapeutics Inc. Common Stock</t>
  </si>
  <si>
    <t>ONCY</t>
  </si>
  <si>
    <t>Oncolytics Biotech Inc. Common Shares</t>
  </si>
  <si>
    <t>ONDS</t>
  </si>
  <si>
    <t>Ondas Holdings Inc. Common Stock</t>
  </si>
  <si>
    <t>ONEM</t>
  </si>
  <si>
    <t>1Life Healthcare Inc. Common Stock</t>
  </si>
  <si>
    <t>ONEW</t>
  </si>
  <si>
    <t>OneWater Marine Inc. Class A Common Stock</t>
  </si>
  <si>
    <t>ONTX</t>
  </si>
  <si>
    <t>Onconova Therapeutics Inc. Common Stock</t>
  </si>
  <si>
    <t>ONVO</t>
  </si>
  <si>
    <t>Organovo Holdings Inc. Common Stock</t>
  </si>
  <si>
    <t>OPBK</t>
  </si>
  <si>
    <t>OP Bancorp Common Stock</t>
  </si>
  <si>
    <t>OPCH</t>
  </si>
  <si>
    <t>Option Care Health Inc. Common Stock</t>
  </si>
  <si>
    <t>OPEN</t>
  </si>
  <si>
    <t>Opendoor Technologies Inc Common Stock</t>
  </si>
  <si>
    <t>OPGN</t>
  </si>
  <si>
    <t>OpGen Inc. Common Stock</t>
  </si>
  <si>
    <t>OPHC</t>
  </si>
  <si>
    <t>OptimumBank Holdings Inc. Common Stock</t>
  </si>
  <si>
    <t>OPI</t>
  </si>
  <si>
    <t>Office Properties Income Trust Common Shares of Beneficial Interest</t>
  </si>
  <si>
    <t>OPINL</t>
  </si>
  <si>
    <t>Office Properties Income Trust 6.375% Senior Notes due 2050</t>
  </si>
  <si>
    <t>OPK</t>
  </si>
  <si>
    <t>OPKO Health Inc. Common Stock</t>
  </si>
  <si>
    <t>OPNT</t>
  </si>
  <si>
    <t>Opiant Pharmaceuticals Inc. Common Stock</t>
  </si>
  <si>
    <t>OPOF</t>
  </si>
  <si>
    <t>Old Point Financial Corporation Common Stock</t>
  </si>
  <si>
    <t>OPRA</t>
  </si>
  <si>
    <t>Opera Limited American Depositary Shares</t>
  </si>
  <si>
    <t>OPRT</t>
  </si>
  <si>
    <t>Oportun Financial Corporation Common Stock</t>
  </si>
  <si>
    <t>OPRX</t>
  </si>
  <si>
    <t>OptimizeRx Corporation Common Stock</t>
  </si>
  <si>
    <t>OPT</t>
  </si>
  <si>
    <t>Opthea Limited American Depositary Shares</t>
  </si>
  <si>
    <t>OPTN</t>
  </si>
  <si>
    <t>OptiNose Inc. Common Stock</t>
  </si>
  <si>
    <t>ORBC</t>
  </si>
  <si>
    <t>ORBCOMM Inc. Common Stock</t>
  </si>
  <si>
    <t>ORGN</t>
  </si>
  <si>
    <t>Origin Materials Inc. Common Stock</t>
  </si>
  <si>
    <t>ORGNW</t>
  </si>
  <si>
    <t>Origin Materials Inc. Warrants</t>
  </si>
  <si>
    <t>ORGO</t>
  </si>
  <si>
    <t>Organogenesis Holdings Inc. Class A Common Stock</t>
  </si>
  <si>
    <t>ORGS</t>
  </si>
  <si>
    <t>Orgenesis Inc. Common Stock</t>
  </si>
  <si>
    <t>ORIA</t>
  </si>
  <si>
    <t>Orion Biotech Opportunities Corp. Class A Ordinary Share</t>
  </si>
  <si>
    <t>ORIAU</t>
  </si>
  <si>
    <t>Orion Biotech Opportunities Corp. Units</t>
  </si>
  <si>
    <t>ORIAW</t>
  </si>
  <si>
    <t>Orion Biotech Opportunities Corp. Warrant</t>
  </si>
  <si>
    <t>ORIC</t>
  </si>
  <si>
    <t>Oric Pharmaceuticals Inc. Common Stock</t>
  </si>
  <si>
    <t>ORLY</t>
  </si>
  <si>
    <t>O'Reilly Automotive Inc. Common Stock</t>
  </si>
  <si>
    <t>ORMP</t>
  </si>
  <si>
    <t>Oramed Pharmaceuticals Inc. Common Stock</t>
  </si>
  <si>
    <t>ORPH</t>
  </si>
  <si>
    <t>Orphazyme A/S American Depositary Shares</t>
  </si>
  <si>
    <t>ORRF</t>
  </si>
  <si>
    <t>Orrstown Financial Services Inc Common Stock</t>
  </si>
  <si>
    <t>ORTX</t>
  </si>
  <si>
    <t>Orchard Therapeutics plc American Depositary Shares</t>
  </si>
  <si>
    <t>OSAT</t>
  </si>
  <si>
    <t>Orbsat Corp Common Stock</t>
  </si>
  <si>
    <t>OSATW</t>
  </si>
  <si>
    <t>Orbsat Corp Warrants</t>
  </si>
  <si>
    <t>OSBC</t>
  </si>
  <si>
    <t>Old Second Bancorp Inc. Common Stock</t>
  </si>
  <si>
    <t>OSIS</t>
  </si>
  <si>
    <t>OSI Systems Inc. Common Stock (DE)</t>
  </si>
  <si>
    <t>OSMT</t>
  </si>
  <si>
    <t>Osmotica Pharmaceuticals plc Ordinary Shares</t>
  </si>
  <si>
    <t>OSN</t>
  </si>
  <si>
    <t>Ossen Innovation Co. Ltd. American Depositary Shares</t>
  </si>
  <si>
    <t>OSPN</t>
  </si>
  <si>
    <t>OneSpan Inc. Common Stock</t>
  </si>
  <si>
    <t>OSS</t>
  </si>
  <si>
    <t>One Stop Systems Inc. Common Stock</t>
  </si>
  <si>
    <t>OSTK</t>
  </si>
  <si>
    <t>Overstock.com Inc. Common Stock</t>
  </si>
  <si>
    <t>OSTR</t>
  </si>
  <si>
    <t>Oyster Enterprises Acquisition Corp. Class A Common Stock</t>
  </si>
  <si>
    <t>OSTRU</t>
  </si>
  <si>
    <t>Oyster Enterprises Acquisition Corp. Unit</t>
  </si>
  <si>
    <t>OSTRW</t>
  </si>
  <si>
    <t>Oyster Enterprises Acquisition Corp. Warrant</t>
  </si>
  <si>
    <t>OSUR</t>
  </si>
  <si>
    <t>OraSure Technologies Inc. Common Stock</t>
  </si>
  <si>
    <t>OSW</t>
  </si>
  <si>
    <t>OneSpaWorld Holdings Limited Common Shares</t>
  </si>
  <si>
    <t>OTEC</t>
  </si>
  <si>
    <t>OceanTech Acquisitions I Corp. Class A Common Stock</t>
  </si>
  <si>
    <t>OTECW</t>
  </si>
  <si>
    <t>OceanTech Acquisitions I Corp. Warrant</t>
  </si>
  <si>
    <t>OTEX</t>
  </si>
  <si>
    <t>Open Text Corporation Common Shares</t>
  </si>
  <si>
    <t>OTIC</t>
  </si>
  <si>
    <t>Otonomy Inc. Common Stock</t>
  </si>
  <si>
    <t>OTLK</t>
  </si>
  <si>
    <t>Outlook Therapeutics Inc. Common Stock</t>
  </si>
  <si>
    <t>OTLKW</t>
  </si>
  <si>
    <t>Outlook Therapeutics Inc. Series A Warrant Expiring 02/18/2022</t>
  </si>
  <si>
    <t>OTLY</t>
  </si>
  <si>
    <t>Oatly Group AB American Depositary Shares</t>
  </si>
  <si>
    <t>OTRA</t>
  </si>
  <si>
    <t>OTR Acquisition Corp. Class A Common Stock</t>
  </si>
  <si>
    <t>OTRAU</t>
  </si>
  <si>
    <t>OTR Acquisition Corp. Unit</t>
  </si>
  <si>
    <t>OTRAW</t>
  </si>
  <si>
    <t>OTR Acquisition Corp. Warrant</t>
  </si>
  <si>
    <t>OTRK</t>
  </si>
  <si>
    <t>Ontrak Inc. Common Stock</t>
  </si>
  <si>
    <t>OTRKP</t>
  </si>
  <si>
    <t>Ontrak Inc. 9.50% Series A Cumulative Perpetual Preferred Stock</t>
  </si>
  <si>
    <t>OTTR</t>
  </si>
  <si>
    <t>Otter Tail Corporation Common Stock</t>
  </si>
  <si>
    <t>OVBC</t>
  </si>
  <si>
    <t>Ohio Valley Banc Corp. Common Stock</t>
  </si>
  <si>
    <t>OVID</t>
  </si>
  <si>
    <t>Ovid Therapeutics Inc. Common Stock</t>
  </si>
  <si>
    <t>OVLY</t>
  </si>
  <si>
    <t>Oak Valley Bancorp (CA) Common Stock</t>
  </si>
  <si>
    <t>OXBR</t>
  </si>
  <si>
    <t>Oxbridge Re Holdings Limited Ordinary Shares</t>
  </si>
  <si>
    <t>OXBRW</t>
  </si>
  <si>
    <t>Oxbridge Re Holdings Limited Warrant expiring 3/26/2024</t>
  </si>
  <si>
    <t>OXLC</t>
  </si>
  <si>
    <t>Oxford Lane Capital Corp. Common Stock</t>
  </si>
  <si>
    <t>OXLCL</t>
  </si>
  <si>
    <t>Oxford Lane Capital Corp. 6.75% Notes due 2031</t>
  </si>
  <si>
    <t>OXLCM</t>
  </si>
  <si>
    <t>Oxford Lane Capital Corp. 6.75% Series 2024 Term Preferred Stock</t>
  </si>
  <si>
    <t>OXLCP</t>
  </si>
  <si>
    <t>Oxford Lane Capital Corp. 6.25% Series 2027 Term Preferred Shares</t>
  </si>
  <si>
    <t>OXSQ</t>
  </si>
  <si>
    <t>Oxford Square Capital Corp. Common Stock</t>
  </si>
  <si>
    <t>OXSQG</t>
  </si>
  <si>
    <t>Oxford Square Capital Corp. 5.50% Notes due 2028</t>
  </si>
  <si>
    <t>OXSQL</t>
  </si>
  <si>
    <t>Oxford Square Capital Corp. 6.50% Notes due 2024</t>
  </si>
  <si>
    <t>OXSQZ</t>
  </si>
  <si>
    <t>Oxford Square Capital Corp. 6.25% Notes due 2026</t>
  </si>
  <si>
    <t>OYST</t>
  </si>
  <si>
    <t>Oyster Point Pharma Inc. Common Stock</t>
  </si>
  <si>
    <t>OZK</t>
  </si>
  <si>
    <t>Bank OZK Common Stock</t>
  </si>
  <si>
    <t>OZON</t>
  </si>
  <si>
    <t>Ozon Holdings PLC American Depositary Shares each ADS representing one ordinary share</t>
  </si>
  <si>
    <t>PAA</t>
  </si>
  <si>
    <t>Plains All American Pipeline L.P. Common Units representing Limited Partner Interests</t>
  </si>
  <si>
    <t>PAAS</t>
  </si>
  <si>
    <t>Pan American Silver Corp. Common Stock</t>
  </si>
  <si>
    <t>PACB</t>
  </si>
  <si>
    <t>Pacific Biosciences of California Inc. Common Stock</t>
  </si>
  <si>
    <t>PACW</t>
  </si>
  <si>
    <t>PacWest Bancorp Common Stock</t>
  </si>
  <si>
    <t>PACX</t>
  </si>
  <si>
    <t>Pioneer Merger Corp. Class A Ordinary Share</t>
  </si>
  <si>
    <t>PACXU</t>
  </si>
  <si>
    <t>Pioneer Merger Corp. Unit</t>
  </si>
  <si>
    <t>PACXW</t>
  </si>
  <si>
    <t>Pioneer Merger Corp. Warrant</t>
  </si>
  <si>
    <t>PAE</t>
  </si>
  <si>
    <t>PAE Incorporated Class A Common Stock</t>
  </si>
  <si>
    <t>PAGP</t>
  </si>
  <si>
    <t>Plains GP Holdings L.P. Class A Units representing Limited Partner Interests</t>
  </si>
  <si>
    <t>PAHC</t>
  </si>
  <si>
    <t>Phibro Animal Health Corporation Class A Common Stock</t>
  </si>
  <si>
    <t>PAIC</t>
  </si>
  <si>
    <t>Petra Acquisition Inc. Common Stock</t>
  </si>
  <si>
    <t>PAICW</t>
  </si>
  <si>
    <t>Petra Acquisition Inc. Warrant</t>
  </si>
  <si>
    <t>PALI</t>
  </si>
  <si>
    <t>Palisade Bio Inc. Common Stock</t>
  </si>
  <si>
    <t>PALT</t>
  </si>
  <si>
    <t>Paltalk Inc. Common Stock</t>
  </si>
  <si>
    <t>PANA</t>
  </si>
  <si>
    <t>Panacea Acquisition Corp. II Class A Ordinary Shares</t>
  </si>
  <si>
    <t>PANL</t>
  </si>
  <si>
    <t>Pangaea Logistics Solutions Ltd. Common Shares</t>
  </si>
  <si>
    <t>PAQC</t>
  </si>
  <si>
    <t>Provident Acquisition Corp. Class A Ordinary Shares</t>
  </si>
  <si>
    <t>PAQCU</t>
  </si>
  <si>
    <t>Provident Acquisition Corp. Units</t>
  </si>
  <si>
    <t>PAQCW</t>
  </si>
  <si>
    <t>Provident Acquisition Corp. Warrant</t>
  </si>
  <si>
    <t>PASG</t>
  </si>
  <si>
    <t>Passage Bio Inc. Common Stock</t>
  </si>
  <si>
    <t>PATI</t>
  </si>
  <si>
    <t>Patriot Transportation Holding Inc. Common Stock</t>
  </si>
  <si>
    <t>PATK</t>
  </si>
  <si>
    <t>Patrick Industries Inc. Common Stock</t>
  </si>
  <si>
    <t>PAVM</t>
  </si>
  <si>
    <t>PAVmed Inc. Common Stock</t>
  </si>
  <si>
    <t>PAVMW</t>
  </si>
  <si>
    <t>PAVmed Inc. Warrant</t>
  </si>
  <si>
    <t>PAVMZ</t>
  </si>
  <si>
    <t>PAVmed Inc. Series Z Warrant</t>
  </si>
  <si>
    <t>PAX</t>
  </si>
  <si>
    <t>Patria Investments Limited Class A Common Shares</t>
  </si>
  <si>
    <t>PAYA</t>
  </si>
  <si>
    <t>Paya Holdings Inc. Class A Common Stock</t>
  </si>
  <si>
    <t>PAYAW</t>
  </si>
  <si>
    <t>Paya Holdings Inc. Warrant</t>
  </si>
  <si>
    <t>PAYO</t>
  </si>
  <si>
    <t>Payoneer Global Inc. Common Stock</t>
  </si>
  <si>
    <t>PAYOW</t>
  </si>
  <si>
    <t>Payoneer Global Inc. Warrant</t>
  </si>
  <si>
    <t>PAYS</t>
  </si>
  <si>
    <t>Paysign Inc. Common Stock</t>
  </si>
  <si>
    <t>PAYX</t>
  </si>
  <si>
    <t>Paychex Inc. Common Stock</t>
  </si>
  <si>
    <t>PBBK</t>
  </si>
  <si>
    <t>PB Bankshares Inc. Common Stock</t>
  </si>
  <si>
    <t>PBCT</t>
  </si>
  <si>
    <t>People's United Financial Inc. Common Stock</t>
  </si>
  <si>
    <t>PBCTP</t>
  </si>
  <si>
    <t>People's United Financial Inc. Perpetual Preferred Series A Fixed-to-floating Rate</t>
  </si>
  <si>
    <t>PBFS</t>
  </si>
  <si>
    <t>Pioneer Bancorp Inc. Common Stock</t>
  </si>
  <si>
    <t>PBHC</t>
  </si>
  <si>
    <t>Pathfinder Bancorp Inc. Common Stock (MD)</t>
  </si>
  <si>
    <t>PBIP</t>
  </si>
  <si>
    <t>Prudential Bancorp Inc. Common Stock</t>
  </si>
  <si>
    <t>PBLA</t>
  </si>
  <si>
    <t>Panbela Therapeutics Inc. Common Stock</t>
  </si>
  <si>
    <t>PBPB</t>
  </si>
  <si>
    <t>Potbelly Corporation Common Stock</t>
  </si>
  <si>
    <t>PBTS</t>
  </si>
  <si>
    <t>Powerbridge Technologies Co. Ltd. Ordinary Shares</t>
  </si>
  <si>
    <t>PBYI</t>
  </si>
  <si>
    <t>Puma Biotechnology Inc Common Stock</t>
  </si>
  <si>
    <t>PCAR</t>
  </si>
  <si>
    <t>PACCAR Inc. Common Stock</t>
  </si>
  <si>
    <t>PCB</t>
  </si>
  <si>
    <t>PCB Bancorp Common Stock</t>
  </si>
  <si>
    <t>PCH</t>
  </si>
  <si>
    <t>PotlatchDeltic Corporation Common Stock</t>
  </si>
  <si>
    <t>PCOM</t>
  </si>
  <si>
    <t>Points International Ltd. Common Shares</t>
  </si>
  <si>
    <t>PCRX</t>
  </si>
  <si>
    <t>Pacira BioSciences Inc. Common Stock</t>
  </si>
  <si>
    <t>PCSA</t>
  </si>
  <si>
    <t>Processa Pharmaceuticals Inc. Common Stock</t>
  </si>
  <si>
    <t>PCSB</t>
  </si>
  <si>
    <t>PCSB Financial Corporation Common Stock</t>
  </si>
  <si>
    <t>PCT</t>
  </si>
  <si>
    <t>PureCycle Technologies Inc. Common stock</t>
  </si>
  <si>
    <t>PCTI</t>
  </si>
  <si>
    <t>PCTEL Inc. Common Stock</t>
  </si>
  <si>
    <t>PCTTU</t>
  </si>
  <si>
    <t>PureCycle Technologies Inc. Unit</t>
  </si>
  <si>
    <t>PCTTW</t>
  </si>
  <si>
    <t>PureCycle Technologies Inc. Warrant</t>
  </si>
  <si>
    <t>PCTY</t>
  </si>
  <si>
    <t>Paylocity Holding Corporation Common Stock</t>
  </si>
  <si>
    <t>PCVX</t>
  </si>
  <si>
    <t>Vaxcyte Inc. Common Stock</t>
  </si>
  <si>
    <t>PCYG</t>
  </si>
  <si>
    <t>Park City Group Inc. Common Stock</t>
  </si>
  <si>
    <t>PCYO</t>
  </si>
  <si>
    <t>Pure Cycle Corporation Common Stock</t>
  </si>
  <si>
    <t>PDCE</t>
  </si>
  <si>
    <t>PDC Energy Inc. Common Stock (Delaware)</t>
  </si>
  <si>
    <t>PDCO</t>
  </si>
  <si>
    <t>Patterson Companies Inc. Common Stock</t>
  </si>
  <si>
    <t>PDD</t>
  </si>
  <si>
    <t>Pinduoduo Inc. American Depositary Shares</t>
  </si>
  <si>
    <t>PDEX</t>
  </si>
  <si>
    <t>Pro-Dex Inc. Common Stock</t>
  </si>
  <si>
    <t>PDFS</t>
  </si>
  <si>
    <t>PDF Solutions Inc. Common Stock</t>
  </si>
  <si>
    <t>PDLB</t>
  </si>
  <si>
    <t>PDL Community Bancorp Common Stock</t>
  </si>
  <si>
    <t>PDSB</t>
  </si>
  <si>
    <t>PDS Biotechnology Corporation Common Stock</t>
  </si>
  <si>
    <t>PEBK</t>
  </si>
  <si>
    <t>Peoples Bancorp of North Carolina Inc. Common Stock</t>
  </si>
  <si>
    <t>PEBO</t>
  </si>
  <si>
    <t>Peoples Bancorp Inc. Common Stock</t>
  </si>
  <si>
    <t>PECO</t>
  </si>
  <si>
    <t>Phillips Edison &amp; Company Inc. Common Stock</t>
  </si>
  <si>
    <t>PEGA</t>
  </si>
  <si>
    <t>Pegasystems Inc. Common Stock</t>
  </si>
  <si>
    <t>PENN</t>
  </si>
  <si>
    <t>Penn National Gaming Inc. Common Stock</t>
  </si>
  <si>
    <t>PEP</t>
  </si>
  <si>
    <t>PepsiCo Inc. Common Stock</t>
  </si>
  <si>
    <t>PERI</t>
  </si>
  <si>
    <t>Perion Network Ltd. Ordinary Shares</t>
  </si>
  <si>
    <t>PESI</t>
  </si>
  <si>
    <t>Perma-Fix Environmental Services Inc. Common Stock</t>
  </si>
  <si>
    <t>PETQ</t>
  </si>
  <si>
    <t>PetIQ Inc. Class A Common Stock</t>
  </si>
  <si>
    <t>PETS</t>
  </si>
  <si>
    <t>PetMed Express Inc. Common Stock</t>
  </si>
  <si>
    <t>PETZ</t>
  </si>
  <si>
    <t>TDH Holdings Inc. Common Shares</t>
  </si>
  <si>
    <t>PFBC</t>
  </si>
  <si>
    <t>Preferred Bank Common Stock</t>
  </si>
  <si>
    <t>PFBI</t>
  </si>
  <si>
    <t>Premier Financial Bancorp Inc. Common Stock</t>
  </si>
  <si>
    <t>PFC</t>
  </si>
  <si>
    <t>Premier Financial Corp. Common Stock</t>
  </si>
  <si>
    <t>PFDR</t>
  </si>
  <si>
    <t>Pathfinder Acquisition Corporation Class A Ordinary Shares</t>
  </si>
  <si>
    <t>PFDRU</t>
  </si>
  <si>
    <t>Pathfinder Acquisition Corporation Unit</t>
  </si>
  <si>
    <t>PFDRW</t>
  </si>
  <si>
    <t>Pathfinder Acquisition Corporation Warrant</t>
  </si>
  <si>
    <t>PFG</t>
  </si>
  <si>
    <t>Principal Financial Group Inc Common Stock</t>
  </si>
  <si>
    <t>PFHD</t>
  </si>
  <si>
    <t>Professional Holding Corp. Class A Common stock</t>
  </si>
  <si>
    <t>PFIE</t>
  </si>
  <si>
    <t>Profire Energy Inc. Common Stock</t>
  </si>
  <si>
    <t>PFIN</t>
  </si>
  <si>
    <t>P &amp; F Industries Inc. Class A Common Stock</t>
  </si>
  <si>
    <t>PFIS</t>
  </si>
  <si>
    <t>Peoples Financial Services Corp. Common Stock</t>
  </si>
  <si>
    <t>PFLT</t>
  </si>
  <si>
    <t>PennantPark Floating Rate Capital Ltd. Common Stock</t>
  </si>
  <si>
    <t>PFMT</t>
  </si>
  <si>
    <t>Performant Financial Corporation Common Stock</t>
  </si>
  <si>
    <t>PFPT</t>
  </si>
  <si>
    <t>Proofpoint Inc. Common Stock</t>
  </si>
  <si>
    <t>PFSW</t>
  </si>
  <si>
    <t>PFSweb Inc. Common Stock</t>
  </si>
  <si>
    <t>PFTAU</t>
  </si>
  <si>
    <t>Portage Fintech Acquisition Corporation Unit</t>
  </si>
  <si>
    <t>PFX</t>
  </si>
  <si>
    <t>PhenixFIN Corporation Common Stock</t>
  </si>
  <si>
    <t>PFXNL</t>
  </si>
  <si>
    <t>PhenixFIN Corporation 6.125% Senior Notes due 2023</t>
  </si>
  <si>
    <t>PGC</t>
  </si>
  <si>
    <t>Peapack-Gladstone Financial Corporation Common Stock</t>
  </si>
  <si>
    <t>PGEN</t>
  </si>
  <si>
    <t>Precigen Inc. Common Stock</t>
  </si>
  <si>
    <t>PGNY</t>
  </si>
  <si>
    <t>Progyny Inc. Common Stock</t>
  </si>
  <si>
    <t>PGRW</t>
  </si>
  <si>
    <t>Progress Acquisition Corp. Class A Common Stock</t>
  </si>
  <si>
    <t>PGRWU</t>
  </si>
  <si>
    <t>Progress Acquisition Corp. Units</t>
  </si>
  <si>
    <t>PGRWW</t>
  </si>
  <si>
    <t>Progress Acquisition Corp. Warrant</t>
  </si>
  <si>
    <t>PHAR</t>
  </si>
  <si>
    <t>Pharming Group N.V. ADS each representing 10 ordinary shares</t>
  </si>
  <si>
    <t>PHAS</t>
  </si>
  <si>
    <t>PhaseBio Pharmaceuticals Inc. Common Stock</t>
  </si>
  <si>
    <t>PHAT</t>
  </si>
  <si>
    <t>Phathom Pharmaceuticals Inc. Common Stock</t>
  </si>
  <si>
    <t>PHCF</t>
  </si>
  <si>
    <t>Puhui Wealth Investment Management Co. Ltd. Ordinary Shares</t>
  </si>
  <si>
    <t>PHIC</t>
  </si>
  <si>
    <t>Population Health Investment Co. Inc. Class A Ordinary Share</t>
  </si>
  <si>
    <t>PHICU</t>
  </si>
  <si>
    <t>Population Health Investment Co. Inc. Unit</t>
  </si>
  <si>
    <t>PHICW</t>
  </si>
  <si>
    <t>Population Health Investment Co. Inc. Warrant</t>
  </si>
  <si>
    <t>PHIO</t>
  </si>
  <si>
    <t>Phio Pharmaceuticals Corp. Common Stock</t>
  </si>
  <si>
    <t>PHIOW</t>
  </si>
  <si>
    <t>Phio Pharmaceuticals Corp. Warrants expiring 12/21/2021</t>
  </si>
  <si>
    <t>PHUN</t>
  </si>
  <si>
    <t>Phunware Inc. Common Stock</t>
  </si>
  <si>
    <t>PHUNW</t>
  </si>
  <si>
    <t>Phunware Inc. Warrants</t>
  </si>
  <si>
    <t>PHVS</t>
  </si>
  <si>
    <t>Pharvaris N.V. Ordinary Shares</t>
  </si>
  <si>
    <t>PI</t>
  </si>
  <si>
    <t>Impinj Inc. Common Stock</t>
  </si>
  <si>
    <t>PINC</t>
  </si>
  <si>
    <t>Premier Inc. Class A Common Stock</t>
  </si>
  <si>
    <t>PIRS</t>
  </si>
  <si>
    <t>Pieris Pharmaceuticals Inc. Common Stock</t>
  </si>
  <si>
    <t>PIXY</t>
  </si>
  <si>
    <t>ShiftPixy Inc. Common Stock</t>
  </si>
  <si>
    <t>PKBK</t>
  </si>
  <si>
    <t>Parke Bancorp Inc. Common Stock</t>
  </si>
  <si>
    <t>PKOH</t>
  </si>
  <si>
    <t>Park-Ohio Holdings Corp. Common Stock</t>
  </si>
  <si>
    <t>PLAB</t>
  </si>
  <si>
    <t>Photronics Inc. Common Stock</t>
  </si>
  <si>
    <t>PLAY</t>
  </si>
  <si>
    <t>Dave &amp; Buster's Entertainment Inc. Common Stock</t>
  </si>
  <si>
    <t>PLBC</t>
  </si>
  <si>
    <t>Plumas Bancorp</t>
  </si>
  <si>
    <t>PLBY</t>
  </si>
  <si>
    <t>PLBY Group Inc. Common Stock</t>
  </si>
  <si>
    <t>PLCE</t>
  </si>
  <si>
    <t>Children's Place Inc. (The) Common Stock</t>
  </si>
  <si>
    <t>PLIN</t>
  </si>
  <si>
    <t>China Xiangtai Food Co. Ltd. Ordinary Shares</t>
  </si>
  <si>
    <t>PLL</t>
  </si>
  <si>
    <t>Piedmont Lithium Inc. Common Stock</t>
  </si>
  <si>
    <t>PLMI</t>
  </si>
  <si>
    <t>Plum Acquisition Corp. I Class A Ordinary Share</t>
  </si>
  <si>
    <t>PLMIW</t>
  </si>
  <si>
    <t>Plum Acquisition Corp. I Warrant</t>
  </si>
  <si>
    <t>PLMR</t>
  </si>
  <si>
    <t>Palomar Holdings Inc. Common stock</t>
  </si>
  <si>
    <t>PLPC</t>
  </si>
  <si>
    <t>Preformed Line Products Company Common Stock</t>
  </si>
  <si>
    <t>PLRX</t>
  </si>
  <si>
    <t>Pliant Therapeutics Inc. Common Stock</t>
  </si>
  <si>
    <t>PLSE</t>
  </si>
  <si>
    <t>Pulse Biosciences Inc Common Stock (DE)</t>
  </si>
  <si>
    <t>PLTK</t>
  </si>
  <si>
    <t>Playtika Holding Corp. Common Stock</t>
  </si>
  <si>
    <t>PLUG</t>
  </si>
  <si>
    <t>Plug Power Inc. Common Stock</t>
  </si>
  <si>
    <t>PLUS</t>
  </si>
  <si>
    <t>ePlus inc. Common Stock</t>
  </si>
  <si>
    <t>PLXP</t>
  </si>
  <si>
    <t>PLx Pharma Inc. Common Stock</t>
  </si>
  <si>
    <t>PLXS</t>
  </si>
  <si>
    <t>Plexus Corp. Common Stock</t>
  </si>
  <si>
    <t>PLYA</t>
  </si>
  <si>
    <t>Playa Hotels &amp; Resorts N.V. Ordinary Shares</t>
  </si>
  <si>
    <t>PMBC</t>
  </si>
  <si>
    <t>Pacific Mercantile Bancorp Common Stock</t>
  </si>
  <si>
    <t>PMD</t>
  </si>
  <si>
    <t>Psychemedics Corporation</t>
  </si>
  <si>
    <t>PME</t>
  </si>
  <si>
    <t>Pingtan Marine Enterprise Ltd.</t>
  </si>
  <si>
    <t>PMGM</t>
  </si>
  <si>
    <t>Priveterra Acquisition Corp. Class A Common Stock</t>
  </si>
  <si>
    <t>PMGMU</t>
  </si>
  <si>
    <t>Priveterra Acquisition Corp. Units</t>
  </si>
  <si>
    <t>PMTS</t>
  </si>
  <si>
    <t>CPI Card Group Inc. Common Stock</t>
  </si>
  <si>
    <t>PMVP</t>
  </si>
  <si>
    <t>PMV Pharmaceuticals Inc. Common Stock</t>
  </si>
  <si>
    <t>PNBK</t>
  </si>
  <si>
    <t>Patriot National Bancorp Inc. Common Stock</t>
  </si>
  <si>
    <t>PNFP</t>
  </si>
  <si>
    <t>Pinnacle Financial Partners Inc. Common Stock</t>
  </si>
  <si>
    <t>PNFPP</t>
  </si>
  <si>
    <t>Pinnacle Financial Partners Inc. Depositary shares of Pinnacle Financial Partners Inc. each representing a 1/40th Interest in a share of its 6.75% Fixed-Rate Non-Cumulative Perpetual Preferred Stock Series B</t>
  </si>
  <si>
    <t>PNNT</t>
  </si>
  <si>
    <t>PennantPark Investment Corporation Common Stock</t>
  </si>
  <si>
    <t>PNRG</t>
  </si>
  <si>
    <t>PrimeEnergy Resources Corporation Common Stock</t>
  </si>
  <si>
    <t>PNT</t>
  </si>
  <si>
    <t>POINT Biopharma Global Inc. Common Stock</t>
  </si>
  <si>
    <t>PNTG</t>
  </si>
  <si>
    <t>The Pennant Group Inc. Common Stock</t>
  </si>
  <si>
    <t>POAI</t>
  </si>
  <si>
    <t>Predictive Oncology Inc. Common Stock</t>
  </si>
  <si>
    <t>PODD</t>
  </si>
  <si>
    <t>Insulet Corporation Common Stock</t>
  </si>
  <si>
    <t>POLA</t>
  </si>
  <si>
    <t>Polar Power Inc. Common Stock</t>
  </si>
  <si>
    <t>POOL</t>
  </si>
  <si>
    <t>Pool Corporation Common Stock</t>
  </si>
  <si>
    <t>POSH</t>
  </si>
  <si>
    <t>Poshmark Inc. Class A Common Stock</t>
  </si>
  <si>
    <t>POW</t>
  </si>
  <si>
    <t>Powered Brands Class A Ordinary Shares</t>
  </si>
  <si>
    <t>POWI</t>
  </si>
  <si>
    <t>Power Integrations Inc. Common Stock</t>
  </si>
  <si>
    <t>POWL</t>
  </si>
  <si>
    <t>Powell Industries Inc. Common Stock</t>
  </si>
  <si>
    <t>POWRU</t>
  </si>
  <si>
    <t>Powered Brands Units</t>
  </si>
  <si>
    <t>POWRW</t>
  </si>
  <si>
    <t>Powered Brands Warrants</t>
  </si>
  <si>
    <t>POWW</t>
  </si>
  <si>
    <t>AMMO Inc. Common Stock</t>
  </si>
  <si>
    <t>POWWP</t>
  </si>
  <si>
    <t>AMMO Inc. 8.75% Series A Cumulative Redeemable Perpetual Preferred Stock</t>
  </si>
  <si>
    <t>PPBI</t>
  </si>
  <si>
    <t>Pacific Premier Bancorp Inc</t>
  </si>
  <si>
    <t>PPBT</t>
  </si>
  <si>
    <t>Purple Biotech Ltd. American Depositary Shares</t>
  </si>
  <si>
    <t>PPC</t>
  </si>
  <si>
    <t>Pilgrim's Pride Corporation Common Stock</t>
  </si>
  <si>
    <t>PPD</t>
  </si>
  <si>
    <t>PPD Inc. Common Stock</t>
  </si>
  <si>
    <t>PPGH</t>
  </si>
  <si>
    <t>Poema Global Holdings Corp. Class A Ordinary Share</t>
  </si>
  <si>
    <t>PPGHU</t>
  </si>
  <si>
    <t>Poema Global Holdings Corp. Unit</t>
  </si>
  <si>
    <t>PPGHW</t>
  </si>
  <si>
    <t>Poema Global Holdings Corp. Warrant</t>
  </si>
  <si>
    <t>PPIH</t>
  </si>
  <si>
    <t>Perma-Pipe International Holdings Inc. Common Stock</t>
  </si>
  <si>
    <t>PPSI</t>
  </si>
  <si>
    <t>Pioneer Power Solutions Inc. Common Stock</t>
  </si>
  <si>
    <t>PPTA</t>
  </si>
  <si>
    <t>Perpetua Resources Corp. Common Shares</t>
  </si>
  <si>
    <t>PRAA</t>
  </si>
  <si>
    <t>PRA Group Inc. Common Stock</t>
  </si>
  <si>
    <t>PRAX</t>
  </si>
  <si>
    <t>Praxis Precision Medicines Inc. Common Stock</t>
  </si>
  <si>
    <t>PRCH</t>
  </si>
  <si>
    <t>Porch Group Inc. Common Stock</t>
  </si>
  <si>
    <t>PRDO</t>
  </si>
  <si>
    <t>Perdoceo Education Corporation Common Stock</t>
  </si>
  <si>
    <t>PRFT</t>
  </si>
  <si>
    <t>Perficient Inc. Common Stock</t>
  </si>
  <si>
    <t>PRFX</t>
  </si>
  <si>
    <t>PainReform Ltd. Ordinary Shares</t>
  </si>
  <si>
    <t>PRGS</t>
  </si>
  <si>
    <t>Progress Software Corporation Common Stock (DE)</t>
  </si>
  <si>
    <t>PRIM</t>
  </si>
  <si>
    <t>Primoris Services Corporation Common Stock</t>
  </si>
  <si>
    <t>PRLD</t>
  </si>
  <si>
    <t>Prelude Therapeutics Incorporated Common Stock</t>
  </si>
  <si>
    <t>PROF</t>
  </si>
  <si>
    <t>Profound Medical Corp. Common Stock</t>
  </si>
  <si>
    <t>PROG</t>
  </si>
  <si>
    <t>Progenity Inc. Common Stock</t>
  </si>
  <si>
    <t>PROV</t>
  </si>
  <si>
    <t>Provident Financial Holdings Inc. Common Stock</t>
  </si>
  <si>
    <t>PRPH</t>
  </si>
  <si>
    <t>ProPhase Labs Inc. Common Stock (DE)</t>
  </si>
  <si>
    <t>PRPL</t>
  </si>
  <si>
    <t>Purple Innovation Inc. Common Stock</t>
  </si>
  <si>
    <t>PRPO</t>
  </si>
  <si>
    <t>Precipio Inc.  Common Stock</t>
  </si>
  <si>
    <t>PRQR</t>
  </si>
  <si>
    <t>ProQR Therapeutics N.V. Ordinary Shares</t>
  </si>
  <si>
    <t>PRSR</t>
  </si>
  <si>
    <t>Prospector Capital Corp. Class A Ordinary Shares</t>
  </si>
  <si>
    <t>PRSRU</t>
  </si>
  <si>
    <t>Prospector Capital Corp. Unit</t>
  </si>
  <si>
    <t>PRSRW</t>
  </si>
  <si>
    <t>Prospector Capital Corp. Warrants</t>
  </si>
  <si>
    <t>PRTA</t>
  </si>
  <si>
    <t>Prothena Corporation plc Ordinary Shares</t>
  </si>
  <si>
    <t>PRTC</t>
  </si>
  <si>
    <t>PureTech Health plc American Depositary Shares</t>
  </si>
  <si>
    <t>PRTG</t>
  </si>
  <si>
    <t>Portage Biotech Inc. Common Stock</t>
  </si>
  <si>
    <t>PRTH</t>
  </si>
  <si>
    <t>Priority Technology Holdings Inc. Common Stock</t>
  </si>
  <si>
    <t>PRTK</t>
  </si>
  <si>
    <t>Paratek Pharmaceuticals Inc. Common Stock</t>
  </si>
  <si>
    <t>PRTS</t>
  </si>
  <si>
    <t>CarParts.com Inc. Common Stock</t>
  </si>
  <si>
    <t>PRVA</t>
  </si>
  <si>
    <t>Privia Health Group Inc. Common Stock</t>
  </si>
  <si>
    <t>PRVB</t>
  </si>
  <si>
    <t>Provention Bio Inc. Common Stock</t>
  </si>
  <si>
    <t>PSAGU</t>
  </si>
  <si>
    <t>Property Solutions Acquisition Corporation II Units</t>
  </si>
  <si>
    <t>PSEC</t>
  </si>
  <si>
    <t>Prospect Capital Corporation Common Stock</t>
  </si>
  <si>
    <t>PSHG</t>
  </si>
  <si>
    <t>Performance Shipping Inc. Common Shares</t>
  </si>
  <si>
    <t>PSMT</t>
  </si>
  <si>
    <t>PriceSmart Inc. Common Stock</t>
  </si>
  <si>
    <t>PSNL</t>
  </si>
  <si>
    <t>Personalis Inc. Common Stock</t>
  </si>
  <si>
    <t>PSTI</t>
  </si>
  <si>
    <t>Pluristem Therapeutics Inc. Common Stock</t>
  </si>
  <si>
    <t>PSTV</t>
  </si>
  <si>
    <t>PLUS THERAPEUTICS Inc. Common Stock</t>
  </si>
  <si>
    <t>PSTX</t>
  </si>
  <si>
    <t>Poseida Therapeutics Inc. Common Stock</t>
  </si>
  <si>
    <t>PT</t>
  </si>
  <si>
    <t>Pintec Technology Holdings Limited American Depositary Shares</t>
  </si>
  <si>
    <t>PTC</t>
  </si>
  <si>
    <t>PTC Inc. Common Stock</t>
  </si>
  <si>
    <t>PTCT</t>
  </si>
  <si>
    <t>PTC Therapeutics Inc. Common Stock</t>
  </si>
  <si>
    <t>PTE</t>
  </si>
  <si>
    <t>PolarityTE Inc. Common Stock</t>
  </si>
  <si>
    <t>PTEN</t>
  </si>
  <si>
    <t>Patterson-UTI Energy Inc. Common Stock</t>
  </si>
  <si>
    <t>PTGX</t>
  </si>
  <si>
    <t>Protagonist Therapeutics Inc. Common Stock</t>
  </si>
  <si>
    <t>PTIC</t>
  </si>
  <si>
    <t>PropTech Investment Corporation II Class A Common Stock</t>
  </si>
  <si>
    <t>PTICU</t>
  </si>
  <si>
    <t>PropTech Investment Corporation II Unit</t>
  </si>
  <si>
    <t>PTICW</t>
  </si>
  <si>
    <t>PropTech Investment Corporation II Warrant</t>
  </si>
  <si>
    <t>PTIX</t>
  </si>
  <si>
    <t>Protagenic Therapeutics Inc. Common Stock</t>
  </si>
  <si>
    <t>PTIXW</t>
  </si>
  <si>
    <t>Protagenic Therapeutics Inc. Warrant</t>
  </si>
  <si>
    <t>PTMN</t>
  </si>
  <si>
    <t>Portman Ridge Finance Corporation Common Stock</t>
  </si>
  <si>
    <t>PTNR</t>
  </si>
  <si>
    <t>Partner Communications Company Ltd. American Depositary Shares</t>
  </si>
  <si>
    <t>PTOC</t>
  </si>
  <si>
    <t>Pine Technology Acquisition Corp. Class A Common Stock</t>
  </si>
  <si>
    <t>PTOCU</t>
  </si>
  <si>
    <t>Pine Technology Acquisition Corp. Unit</t>
  </si>
  <si>
    <t>PTOCW</t>
  </si>
  <si>
    <t>Pine Technology Acquisition Corp. Warrant</t>
  </si>
  <si>
    <t>PTON</t>
  </si>
  <si>
    <t>Peloton Interactive Inc. Class A Common Stock</t>
  </si>
  <si>
    <t>PTPI</t>
  </si>
  <si>
    <t>Petros Pharmaceuticals Inc. Common Stock</t>
  </si>
  <si>
    <t>PTRA</t>
  </si>
  <si>
    <t>Proterra Inc. Common Stock</t>
  </si>
  <si>
    <t>PTRAW</t>
  </si>
  <si>
    <t>Proterra Inc. Warrant</t>
  </si>
  <si>
    <t>PTRS</t>
  </si>
  <si>
    <t>Partners Bancorp Common Stock</t>
  </si>
  <si>
    <t>PTSI</t>
  </si>
  <si>
    <t>P.A.M. Transportation Services Inc. Common Stock</t>
  </si>
  <si>
    <t>PTVE</t>
  </si>
  <si>
    <t>Pactiv Evergreen Inc. Common stock</t>
  </si>
  <si>
    <t>PUBM</t>
  </si>
  <si>
    <t>PubMatic Inc. Class A Common Stock</t>
  </si>
  <si>
    <t>PUCK</t>
  </si>
  <si>
    <t>Goal Acquisitions Corp. Common Stock</t>
  </si>
  <si>
    <t>PUCKU</t>
  </si>
  <si>
    <t>Goal Acquisitions Corp. Unit</t>
  </si>
  <si>
    <t>PUCKW</t>
  </si>
  <si>
    <t>Goal Acquisitions Corp. Warrant</t>
  </si>
  <si>
    <t>PULM</t>
  </si>
  <si>
    <t>Pulmatrix Inc. Common Stock</t>
  </si>
  <si>
    <t>PUYI</t>
  </si>
  <si>
    <t>Puyi Inc. American Depository Shares</t>
  </si>
  <si>
    <t>PVAC</t>
  </si>
  <si>
    <t>Penn Virginia Corporation Common Stock</t>
  </si>
  <si>
    <t>PVBC</t>
  </si>
  <si>
    <t>Provident Bancorp Inc. (MD) Common Stock</t>
  </si>
  <si>
    <t>PWFL</t>
  </si>
  <si>
    <t>PowerFleet Inc. Common Stock</t>
  </si>
  <si>
    <t>PWOD</t>
  </si>
  <si>
    <t>Penns Woods Bancorp Inc. Common Stock</t>
  </si>
  <si>
    <t>PWP</t>
  </si>
  <si>
    <t>Perella Weinberg Partners Class A Common Stock</t>
  </si>
  <si>
    <t>PWPPW</t>
  </si>
  <si>
    <t>Perella Weinberg Partners Warrant</t>
  </si>
  <si>
    <t>PXLW</t>
  </si>
  <si>
    <t>Pixelworks Inc.  Common Stock</t>
  </si>
  <si>
    <t>PXS</t>
  </si>
  <si>
    <t>Pyxis Tankers Inc. Common Stock</t>
  </si>
  <si>
    <t>PXSAP</t>
  </si>
  <si>
    <t>Pyxis Tankers Inc. 7.75% Series A Cumulative Convertible Preferred Shares</t>
  </si>
  <si>
    <t>PXSAW</t>
  </si>
  <si>
    <t>Pyxis Tankers Inc. Warrant</t>
  </si>
  <si>
    <t>PYCR</t>
  </si>
  <si>
    <t>Paycor HCM Inc. Common Stock</t>
  </si>
  <si>
    <t>PYPD</t>
  </si>
  <si>
    <t>PolyPid Ltd. Ordinary Shares</t>
  </si>
  <si>
    <t>PYPL</t>
  </si>
  <si>
    <t>PayPal Holdings Inc. Common Stock</t>
  </si>
  <si>
    <t>PYR</t>
  </si>
  <si>
    <t>PyroGenesis Canada Inc. Common Shares</t>
  </si>
  <si>
    <t>PZZA</t>
  </si>
  <si>
    <t>Papa John's International Inc. Common Stock</t>
  </si>
  <si>
    <t>QADA</t>
  </si>
  <si>
    <t>QAD Inc. Class A Common Stock</t>
  </si>
  <si>
    <t>QADB</t>
  </si>
  <si>
    <t>QAD Inc. Class B Common Stock</t>
  </si>
  <si>
    <t>QCOM</t>
  </si>
  <si>
    <t>QUALCOMM Incorporated Common Stock</t>
  </si>
  <si>
    <t>QCRH</t>
  </si>
  <si>
    <t>QCR Holdings Inc. Common Stock</t>
  </si>
  <si>
    <t>QDEL</t>
  </si>
  <si>
    <t>Quidel Corporation Common Stock</t>
  </si>
  <si>
    <t>QELL</t>
  </si>
  <si>
    <t>Qell Acquisition Corp. Class A Ordinary Shares</t>
  </si>
  <si>
    <t>QELLU</t>
  </si>
  <si>
    <t>Qell Acquisition Corp. Unit</t>
  </si>
  <si>
    <t>QELLW</t>
  </si>
  <si>
    <t>Qell Acquisition Corp. Warrant</t>
  </si>
  <si>
    <t>QFIN</t>
  </si>
  <si>
    <t>360 DigiTech Inc. American Depositary Shares</t>
  </si>
  <si>
    <t>QH</t>
  </si>
  <si>
    <t>Quhuo Limited American Depository Shares</t>
  </si>
  <si>
    <t>QIPT</t>
  </si>
  <si>
    <t>Quipt Home Medical Corp. Common Shares</t>
  </si>
  <si>
    <t>QIWI</t>
  </si>
  <si>
    <t>QIWI plc American Depositary Shares</t>
  </si>
  <si>
    <t>QK</t>
  </si>
  <si>
    <t>Q&amp;K International Group Limited American Depositary Shares</t>
  </si>
  <si>
    <t>QLGN</t>
  </si>
  <si>
    <t>Qualigen Therapeutics Inc. Common Stock</t>
  </si>
  <si>
    <t>QLI</t>
  </si>
  <si>
    <t>Qilian International Holding Group Ltd. Ordinary Shares</t>
  </si>
  <si>
    <t>QLYS</t>
  </si>
  <si>
    <t>Qualys Inc. Common Stock</t>
  </si>
  <si>
    <t>QMCO</t>
  </si>
  <si>
    <t>Quantum Corporation Common Stock</t>
  </si>
  <si>
    <t>QNST</t>
  </si>
  <si>
    <t>QuinStreet Inc. Common Stock</t>
  </si>
  <si>
    <t>QQQX</t>
  </si>
  <si>
    <t>Nuveen NASDAQ 100 Dynamic Overwrite Fund Shares of Beneficial Interest</t>
  </si>
  <si>
    <t>QRHC</t>
  </si>
  <si>
    <t>Quest Resource Holding Corporation Common Stock</t>
  </si>
  <si>
    <t>QRTEA</t>
  </si>
  <si>
    <t>Qurate Retail Inc. Series A Common Stock</t>
  </si>
  <si>
    <t>QRTEB</t>
  </si>
  <si>
    <t>Qurate Retail Inc. Series B Common Stock</t>
  </si>
  <si>
    <t>QRTEP</t>
  </si>
  <si>
    <t>Qurate Retail Inc. 8.0% Fixed Rate Cumulative Redeemable Preferred Stock</t>
  </si>
  <si>
    <t>QRVO</t>
  </si>
  <si>
    <t>Qorvo Inc. Common Stock</t>
  </si>
  <si>
    <t>QSI</t>
  </si>
  <si>
    <t>Quantum-Si Incorporated Class A Common Stock</t>
  </si>
  <si>
    <t>QSIAW</t>
  </si>
  <si>
    <t>Quantum-Si Incorporated Warrant</t>
  </si>
  <si>
    <t>QTNT</t>
  </si>
  <si>
    <t>Quotient Limited Ordinary Shares</t>
  </si>
  <si>
    <t>QTRX</t>
  </si>
  <si>
    <t>Quanterix Corporation Common Stock</t>
  </si>
  <si>
    <t>QTT</t>
  </si>
  <si>
    <t>Qutoutiao Inc. American Depositary Shares</t>
  </si>
  <si>
    <t>QUBT</t>
  </si>
  <si>
    <t>Quantum Computing Inc. Common Stock</t>
  </si>
  <si>
    <t>QUIK</t>
  </si>
  <si>
    <t>QuickLogic Corporation Common Stock</t>
  </si>
  <si>
    <t>QUMU</t>
  </si>
  <si>
    <t>Qumu Corporation Common Stock</t>
  </si>
  <si>
    <t>QURE</t>
  </si>
  <si>
    <t>uniQure N.V. Ordinary Shares</t>
  </si>
  <si>
    <t>RADA</t>
  </si>
  <si>
    <t>RADA Electronic Industries Ltd. Ordinary Shares</t>
  </si>
  <si>
    <t>RADI</t>
  </si>
  <si>
    <t>Radius Global Infrastructure Inc. Class A Common Stock</t>
  </si>
  <si>
    <t>RAIL</t>
  </si>
  <si>
    <t>FreightCar America Inc. Common Stock</t>
  </si>
  <si>
    <t>RAIN</t>
  </si>
  <si>
    <t>Rain Therapeutics Inc. Common Stock</t>
  </si>
  <si>
    <t>RAM</t>
  </si>
  <si>
    <t>Aries I Acquisition Corporation Class A Ordinary Share</t>
  </si>
  <si>
    <t>RAMMU</t>
  </si>
  <si>
    <t>Aries I Acquisition Corporation Unit</t>
  </si>
  <si>
    <t>RAMMW</t>
  </si>
  <si>
    <t>Aries I Acquisition Corporation Warrant</t>
  </si>
  <si>
    <t>RAND</t>
  </si>
  <si>
    <t>Rand Capital Corporation Common Stock</t>
  </si>
  <si>
    <t>RANI</t>
  </si>
  <si>
    <t>Rani Therapeutics Holdings Inc. Class A Common Stock</t>
  </si>
  <si>
    <t>RAPT</t>
  </si>
  <si>
    <t>RAPT Therapeutics Inc. Common Stock</t>
  </si>
  <si>
    <t>RARE</t>
  </si>
  <si>
    <t>Ultragenyx Pharmaceutical Inc. Common Stock</t>
  </si>
  <si>
    <t>RAVE</t>
  </si>
  <si>
    <t>Rave Restaurant Group Inc. Common Stock</t>
  </si>
  <si>
    <t>RAVN</t>
  </si>
  <si>
    <t>Raven Industries Inc. Common Stock</t>
  </si>
  <si>
    <t>RBB</t>
  </si>
  <si>
    <t>RBB Bancorp Common Stock</t>
  </si>
  <si>
    <t>RBBN</t>
  </si>
  <si>
    <t>Ribbon Communications Inc. Common Stock</t>
  </si>
  <si>
    <t>RBCAA</t>
  </si>
  <si>
    <t>Republic Bancorp Inc. Class A Common Stock</t>
  </si>
  <si>
    <t>RBCN</t>
  </si>
  <si>
    <t>Rubicon Technology Inc. Common Stock</t>
  </si>
  <si>
    <t>RBKB</t>
  </si>
  <si>
    <t>Rhinebeck Bancorp Inc. Common Stock</t>
  </si>
  <si>
    <t>RBNC</t>
  </si>
  <si>
    <t>Reliant Bancorp Inc. Common Stock</t>
  </si>
  <si>
    <t>RCAT</t>
  </si>
  <si>
    <t>Red Cat Holdings Inc. Common Stock</t>
  </si>
  <si>
    <t>RCEL</t>
  </si>
  <si>
    <t>Avita Therapeutics Inc. Common Stock</t>
  </si>
  <si>
    <t>RCHG</t>
  </si>
  <si>
    <t>Recharge Acquisition Corp. Class A Common Stock</t>
  </si>
  <si>
    <t>RCHGW</t>
  </si>
  <si>
    <t>Recharge Acquisition Corp. Warrant</t>
  </si>
  <si>
    <t>RCII</t>
  </si>
  <si>
    <t>Rent-A-Center Inc. Common Stock</t>
  </si>
  <si>
    <t>RCKT</t>
  </si>
  <si>
    <t>Rocket Pharmaceuticals Inc. Common Stock</t>
  </si>
  <si>
    <t>RCKY</t>
  </si>
  <si>
    <t>Rocky Brands Inc. Common Stock</t>
  </si>
  <si>
    <t>RCLF</t>
  </si>
  <si>
    <t>Rosecliff Acquisition Corp I Class A Common Stock</t>
  </si>
  <si>
    <t>RCLFU</t>
  </si>
  <si>
    <t>Rosecliff Acquisition Corp I Unit</t>
  </si>
  <si>
    <t>RCLFW</t>
  </si>
  <si>
    <t>Rosecliff Acquisition Corp I Warrants</t>
  </si>
  <si>
    <t>RCM</t>
  </si>
  <si>
    <t>R1 RCM Inc. Common Stock</t>
  </si>
  <si>
    <t>RCMT</t>
  </si>
  <si>
    <t>RCM Technologies Inc. Common Stock</t>
  </si>
  <si>
    <t>RCON</t>
  </si>
  <si>
    <t>Recon Technology Ltd. Class A Ordinary Shares</t>
  </si>
  <si>
    <t>RCRT</t>
  </si>
  <si>
    <t>Recruiter.com Group Inc. Common Stock</t>
  </si>
  <si>
    <t>RDCM</t>
  </si>
  <si>
    <t>Radcom Ltd. Ordinary Shares</t>
  </si>
  <si>
    <t>RDFN</t>
  </si>
  <si>
    <t>Redfin Corporation Common Stock</t>
  </si>
  <si>
    <t>RDHL</t>
  </si>
  <si>
    <t>Redhill Biopharma Ltd. American Depositary Shares</t>
  </si>
  <si>
    <t>RDI</t>
  </si>
  <si>
    <t>Reading International Inc Class A Common Stock</t>
  </si>
  <si>
    <t>RDIB</t>
  </si>
  <si>
    <t>Reading International Inc Class B Common Stock</t>
  </si>
  <si>
    <t>RDNT</t>
  </si>
  <si>
    <t>RadNet Inc. Common Stock</t>
  </si>
  <si>
    <t>RDUS</t>
  </si>
  <si>
    <t>Radius Health Inc. Common Stock</t>
  </si>
  <si>
    <t>RDVT</t>
  </si>
  <si>
    <t>Red Violet Inc. Common Stock</t>
  </si>
  <si>
    <t>RDWR</t>
  </si>
  <si>
    <t>Radware Ltd. Ordinary Shares</t>
  </si>
  <si>
    <t>REAL</t>
  </si>
  <si>
    <t>The RealReal Inc. Common Stock</t>
  </si>
  <si>
    <t>REAX</t>
  </si>
  <si>
    <t>The Real Brokerage Inc. Common Shares</t>
  </si>
  <si>
    <t>REDU</t>
  </si>
  <si>
    <t>RISE Education Cayman Ltd American Depositary Shares</t>
  </si>
  <si>
    <t>REE</t>
  </si>
  <si>
    <t>REE Automotive Ltd. Class A Ordinary Shares</t>
  </si>
  <si>
    <t>REEAW</t>
  </si>
  <si>
    <t>REE Automotive Ltd. Warrant</t>
  </si>
  <si>
    <t>REED</t>
  </si>
  <si>
    <t>Reeds Inc. Common Stock</t>
  </si>
  <si>
    <t>REFR</t>
  </si>
  <si>
    <t>Research Frontiers Incorporated Common Stock</t>
  </si>
  <si>
    <t>REG</t>
  </si>
  <si>
    <t>Regency Centers Corporation Common Stock</t>
  </si>
  <si>
    <t>REGI</t>
  </si>
  <si>
    <t>Renewable Energy Group Inc. Common Stock</t>
  </si>
  <si>
    <t>REGN</t>
  </si>
  <si>
    <t>Regeneron Pharmaceuticals Inc. Common Stock</t>
  </si>
  <si>
    <t>REKR</t>
  </si>
  <si>
    <t>Rekor Systems Inc. Common Stock</t>
  </si>
  <si>
    <t>RELI</t>
  </si>
  <si>
    <t>Reliance Global Group Inc. Common Stock</t>
  </si>
  <si>
    <t>RELIW</t>
  </si>
  <si>
    <t>Reliance Global Group Inc. Series A Warrants</t>
  </si>
  <si>
    <t>RELL</t>
  </si>
  <si>
    <t>Richardson Electronics Ltd. Common Stock</t>
  </si>
  <si>
    <t>REPH</t>
  </si>
  <si>
    <t>Recro Pharma Inc. Common Stock</t>
  </si>
  <si>
    <t>REPL</t>
  </si>
  <si>
    <t>Replimune Group Inc. Common Stock</t>
  </si>
  <si>
    <t>RESN</t>
  </si>
  <si>
    <t>Resonant Inc. Common Stock</t>
  </si>
  <si>
    <t>RETA</t>
  </si>
  <si>
    <t>Reata Pharmaceuticals Inc. Class A Common Stock</t>
  </si>
  <si>
    <t>RETO</t>
  </si>
  <si>
    <t>ReTo Eco-Solutions Inc. Common Shares</t>
  </si>
  <si>
    <t>REVH</t>
  </si>
  <si>
    <t>Revolution Healthcare Acquisition Corp. SAIL Class A Common Stock</t>
  </si>
  <si>
    <t>REVHU</t>
  </si>
  <si>
    <t>Revolution Healthcare Acquisition Corp. SAIL Units</t>
  </si>
  <si>
    <t>REVHW</t>
  </si>
  <si>
    <t>Revolution Healthcare Acquisition Corp. SAIL Warrant.</t>
  </si>
  <si>
    <t>REYN</t>
  </si>
  <si>
    <t>Reynolds Consumer Products Inc. Common Stock</t>
  </si>
  <si>
    <t>RFIL</t>
  </si>
  <si>
    <t>RF Industries Ltd. Common Stock</t>
  </si>
  <si>
    <t>RGC</t>
  </si>
  <si>
    <t>Regencell Bioscience Holdings Limited Ordinary Shares</t>
  </si>
  <si>
    <t>RGCO</t>
  </si>
  <si>
    <t>RGC Resources Inc. Common Stock</t>
  </si>
  <si>
    <t>RGEN</t>
  </si>
  <si>
    <t>Repligen Corporation Common Stock</t>
  </si>
  <si>
    <t>RGLD</t>
  </si>
  <si>
    <t>Royal Gold Inc. Common Stock</t>
  </si>
  <si>
    <t>RGLS</t>
  </si>
  <si>
    <t>Regulus Therapeutics Inc. Common Stock</t>
  </si>
  <si>
    <t>RGNX</t>
  </si>
  <si>
    <t>REGENXBIO Inc. Common Stock</t>
  </si>
  <si>
    <t>RGP</t>
  </si>
  <si>
    <t>Resources Connection Inc. Common Stock</t>
  </si>
  <si>
    <t>RIBT</t>
  </si>
  <si>
    <t>RiceBran Technologies Common Stock</t>
  </si>
  <si>
    <t>RICK</t>
  </si>
  <si>
    <t>RCI Hospitality Holdings Inc. Common Stock</t>
  </si>
  <si>
    <t>RICOU</t>
  </si>
  <si>
    <t>Agrico Acquisition Corp. Unit</t>
  </si>
  <si>
    <t>RIDE</t>
  </si>
  <si>
    <t>Lordstown Motors Corp. Class A Common Stock</t>
  </si>
  <si>
    <t>RIGL</t>
  </si>
  <si>
    <t>Rigel Pharmaceuticals Inc. Common Stock</t>
  </si>
  <si>
    <t>RILY</t>
  </si>
  <si>
    <t>B. Riley Financial Inc. Common Stock</t>
  </si>
  <si>
    <t>RILYH</t>
  </si>
  <si>
    <t>B. Riley Financial Inc. 7.375% Senior Notes due 2023</t>
  </si>
  <si>
    <t>RILYI</t>
  </si>
  <si>
    <t>B. Riley Financial Inc. 6.875% Senior Notes due 2023</t>
  </si>
  <si>
    <t>RILYK</t>
  </si>
  <si>
    <t>B. Riley Financial Inc. 5.50% Senior Notes Due 2026</t>
  </si>
  <si>
    <t>RILYL</t>
  </si>
  <si>
    <t>B. Riley Financial Inc. Depositary Shares each representing 1/1000th in a share of 7.375% Series B Cumulative Perpetual Preferred Stock par value $0.0001</t>
  </si>
  <si>
    <t>RILYM</t>
  </si>
  <si>
    <t>B. Riley Financial Inc. 6.375% Senior Notes due 2025</t>
  </si>
  <si>
    <t>RILYN</t>
  </si>
  <si>
    <t>B. Riley Financial Inc. 6.50% Senior Notes Due 2026</t>
  </si>
  <si>
    <t>RILYO</t>
  </si>
  <si>
    <t>B. Riley Financial Inc. 6.75% Senior Notes due 2024</t>
  </si>
  <si>
    <t>RILYP</t>
  </si>
  <si>
    <t>B. Riley Financial Inc. Depositary Shares each representing a 1/1000th fractional interest in a share of Series A Cumulative Perpetual Preferred Stock</t>
  </si>
  <si>
    <t>RILYT</t>
  </si>
  <si>
    <t>B. Riley Financial Inc. 6.00% Senior Notes Due 2028</t>
  </si>
  <si>
    <t>RIOT</t>
  </si>
  <si>
    <t>Riot Blockchain Inc.  Common Stock</t>
  </si>
  <si>
    <t>RIVE</t>
  </si>
  <si>
    <t>Riverview Financial Corporation Common Stock</t>
  </si>
  <si>
    <t>RKDA</t>
  </si>
  <si>
    <t>Arcadia Biosciences Inc. Common Stock</t>
  </si>
  <si>
    <t>RLAY</t>
  </si>
  <si>
    <t>Relay Therapeutics Inc. Common Stock</t>
  </si>
  <si>
    <t>RLMD</t>
  </si>
  <si>
    <t>Relmada Therapeutics Inc. Common Stock</t>
  </si>
  <si>
    <t>RLYB</t>
  </si>
  <si>
    <t>Rallybio Corporation Common Stock</t>
  </si>
  <si>
    <t>RMBI</t>
  </si>
  <si>
    <t>Richmond Mutual Bancorporation Inc. Common Stock</t>
  </si>
  <si>
    <t>RMBL</t>
  </si>
  <si>
    <t>RumbleOn Inc. Class B Common Stock</t>
  </si>
  <si>
    <t>RMBS</t>
  </si>
  <si>
    <t>Rambus Inc. Common Stock</t>
  </si>
  <si>
    <t>RMCF</t>
  </si>
  <si>
    <t>Rocky Mountain Chocolate Factory Inc. Common Stock</t>
  </si>
  <si>
    <t>RMGB</t>
  </si>
  <si>
    <t>RMG Acquisition Corp. II Class A Ordinary Shares</t>
  </si>
  <si>
    <t>RMGBU</t>
  </si>
  <si>
    <t>RMG Acquisition Corp. II Unit</t>
  </si>
  <si>
    <t>RMGBW</t>
  </si>
  <si>
    <t>RMG Acquisition Corp. II Warrant</t>
  </si>
  <si>
    <t>RMGC</t>
  </si>
  <si>
    <t>RMG Acquisition Corp. III Class A Ordinary Shares</t>
  </si>
  <si>
    <t>RMGCU</t>
  </si>
  <si>
    <t>RMG Acquisition Corp. III Unit</t>
  </si>
  <si>
    <t>RMNI</t>
  </si>
  <si>
    <t>Rimini Street Inc. (DE) Common Stock</t>
  </si>
  <si>
    <t>RMR</t>
  </si>
  <si>
    <t>The RMR Group Inc. Class A Common Stock</t>
  </si>
  <si>
    <t>RMRM</t>
  </si>
  <si>
    <t>RMR Mortgage Trust Common Stock</t>
  </si>
  <si>
    <t>RMTI</t>
  </si>
  <si>
    <t>Rockwell Medical Inc. (DE) Common Stock</t>
  </si>
  <si>
    <t>RNA</t>
  </si>
  <si>
    <t>Avidity Biosciences Inc. Common Stock</t>
  </si>
  <si>
    <t>RNAZ</t>
  </si>
  <si>
    <t>TransCode Therapeutics Inc. Common Stock</t>
  </si>
  <si>
    <t>RNDB</t>
  </si>
  <si>
    <t>Randolph Bancorp Inc. Common Stock</t>
  </si>
  <si>
    <t>RNLX</t>
  </si>
  <si>
    <t>Renalytix plc American Depositary Shares</t>
  </si>
  <si>
    <t>RNST</t>
  </si>
  <si>
    <t>Renasant Corporation Common Stock</t>
  </si>
  <si>
    <t>RNWK</t>
  </si>
  <si>
    <t>RealNetworks Inc. Common Stock</t>
  </si>
  <si>
    <t>ROAD</t>
  </si>
  <si>
    <t>Construction Partners Inc. Class A Common Stock</t>
  </si>
  <si>
    <t>ROCK</t>
  </si>
  <si>
    <t>Gibraltar Industries Inc. Common Stock</t>
  </si>
  <si>
    <t>ROCR</t>
  </si>
  <si>
    <t>Roth CH Acquisition III Co. Common stock</t>
  </si>
  <si>
    <t>ROCRU</t>
  </si>
  <si>
    <t>Roth CH Acquisition III Co. Unit</t>
  </si>
  <si>
    <t>ROCRW</t>
  </si>
  <si>
    <t>Roth CH Acquisition III Co. Warrant</t>
  </si>
  <si>
    <t>ROIC</t>
  </si>
  <si>
    <t>Retail Opportunity Investments Corp. Common Stock (MD)</t>
  </si>
  <si>
    <t>ROKU</t>
  </si>
  <si>
    <t>Roku Inc. Class A Common Stock</t>
  </si>
  <si>
    <t>ROLL</t>
  </si>
  <si>
    <t>RBC Bearings Incorporated Common Stock</t>
  </si>
  <si>
    <t>ROOT</t>
  </si>
  <si>
    <t>Root Inc. Class A Common Stock</t>
  </si>
  <si>
    <t>ROST</t>
  </si>
  <si>
    <t>Ross Stores Inc. Common Stock</t>
  </si>
  <si>
    <t>ROVR</t>
  </si>
  <si>
    <t>Rover Group Inc. Class A Common Stock</t>
  </si>
  <si>
    <t>ROVRW</t>
  </si>
  <si>
    <t>Rover Group Inc. Warrant</t>
  </si>
  <si>
    <t>RPAY</t>
  </si>
  <si>
    <t>Repay Holdings Corporation Class A Common Stock</t>
  </si>
  <si>
    <t>RPD</t>
  </si>
  <si>
    <t>Rapid7 Inc. Common Stock</t>
  </si>
  <si>
    <t>RPHM</t>
  </si>
  <si>
    <t>Reneo Pharmaceuticals Inc. Common Stock</t>
  </si>
  <si>
    <t>RPID</t>
  </si>
  <si>
    <t>Rapid Micro Biosystems Inc. Class A Common Stock</t>
  </si>
  <si>
    <t>RPRX</t>
  </si>
  <si>
    <t>Royalty Pharma plc Class A Ordinary Shares</t>
  </si>
  <si>
    <t>RPTX</t>
  </si>
  <si>
    <t>Repare Therapeutics Inc. Common Shares</t>
  </si>
  <si>
    <t>RRBI</t>
  </si>
  <si>
    <t>Red River Bancshares Inc. Common Stock</t>
  </si>
  <si>
    <t>RRGB</t>
  </si>
  <si>
    <t>Red Robin Gourmet Burgers Inc. Common Stock</t>
  </si>
  <si>
    <t>RRR</t>
  </si>
  <si>
    <t>Red Rock Resorts Inc. Class A Common Stock</t>
  </si>
  <si>
    <t>RSLS</t>
  </si>
  <si>
    <t>ReShape Lifesciences Inc. Common Stock</t>
  </si>
  <si>
    <t>RSSS</t>
  </si>
  <si>
    <t>Research Solutions Inc Common Stock</t>
  </si>
  <si>
    <t>RSVR</t>
  </si>
  <si>
    <t>Reservoir Media Inc. Common Stock</t>
  </si>
  <si>
    <t>RSVRW</t>
  </si>
  <si>
    <t>Reservoir Media Inc. Warrant</t>
  </si>
  <si>
    <t>RTLR</t>
  </si>
  <si>
    <t>Rattler Midstream LP Common Units</t>
  </si>
  <si>
    <t>RTPY</t>
  </si>
  <si>
    <t>Reinvent Technology Partners Y Class A Ordinary Shares</t>
  </si>
  <si>
    <t>RTPYU</t>
  </si>
  <si>
    <t>Reinvent Technology Partners Y Unit</t>
  </si>
  <si>
    <t>RTPYW</t>
  </si>
  <si>
    <t>Reinvent Technology Partners Y Warrant</t>
  </si>
  <si>
    <t>RUBY</t>
  </si>
  <si>
    <t>Rubius Therapeutics Inc. Common Stock</t>
  </si>
  <si>
    <t>RUN</t>
  </si>
  <si>
    <t>Sunrun Inc. Common Stock</t>
  </si>
  <si>
    <t>RUSHA</t>
  </si>
  <si>
    <t>Rush Enterprises Inc. Common Stock Cl A</t>
  </si>
  <si>
    <t>RUSHB</t>
  </si>
  <si>
    <t>Rush Enterprises Inc. Class B</t>
  </si>
  <si>
    <t>RUTH</t>
  </si>
  <si>
    <t>Ruth's Hospitality Group Inc. Common Stock</t>
  </si>
  <si>
    <t>RVMD</t>
  </si>
  <si>
    <t>Revolution Medicines Inc. Common Stock</t>
  </si>
  <si>
    <t>RVNC</t>
  </si>
  <si>
    <t>Revance Therapeutics Inc. Common Stock</t>
  </si>
  <si>
    <t>RVPH</t>
  </si>
  <si>
    <t>Reviva Pharmaceuticals Holdings Inc. Common Stock</t>
  </si>
  <si>
    <t>RVPHW</t>
  </si>
  <si>
    <t>Reviva Pharmaceuticals Holdings Inc. Warrants</t>
  </si>
  <si>
    <t>RVSB</t>
  </si>
  <si>
    <t>Riverview Bancorp Inc Common Stock</t>
  </si>
  <si>
    <t>RWLK</t>
  </si>
  <si>
    <t>ReWalk Robotics Ltd. Ordinary Shares</t>
  </si>
  <si>
    <t>RXDX</t>
  </si>
  <si>
    <t>Prometheus Biosciences Inc. Common Stock</t>
  </si>
  <si>
    <t>RXRA</t>
  </si>
  <si>
    <t>RXR Acquisition Corp. Class A Common Stock</t>
  </si>
  <si>
    <t>RXRAU</t>
  </si>
  <si>
    <t>RXR Acquisition Corp. Units</t>
  </si>
  <si>
    <t>RXRX</t>
  </si>
  <si>
    <t>Recursion Pharmaceuticals Inc. Class A Common Stock</t>
  </si>
  <si>
    <t>RXST</t>
  </si>
  <si>
    <t>RxSight Inc. Common Stock</t>
  </si>
  <si>
    <t>RXT</t>
  </si>
  <si>
    <t>Rackspace Technology Inc. Common Stock</t>
  </si>
  <si>
    <t>RYAAY</t>
  </si>
  <si>
    <t>Ryanair Holdings plc American Depositary Shares</t>
  </si>
  <si>
    <t>RYTM</t>
  </si>
  <si>
    <t>Rhythm Pharmaceuticals Inc. Common Stock</t>
  </si>
  <si>
    <t>RZLT</t>
  </si>
  <si>
    <t>Rezolute Inc. Common Stock (NV)</t>
  </si>
  <si>
    <t>SABR</t>
  </si>
  <si>
    <t>Sabre Corporation Common Stock</t>
  </si>
  <si>
    <t>SABRP</t>
  </si>
  <si>
    <t>Sabre Corporation 6.50% Series A Mandatory Convertible Preferred Stock</t>
  </si>
  <si>
    <t>SAFM</t>
  </si>
  <si>
    <t>Sanderson Farms Inc. Common Stock</t>
  </si>
  <si>
    <t>SAFT</t>
  </si>
  <si>
    <t>Safety Insurance Group Inc. Common Stock</t>
  </si>
  <si>
    <t>SAGE</t>
  </si>
  <si>
    <t>Sage Therapeutics Inc. Common Stock</t>
  </si>
  <si>
    <t>SAIA</t>
  </si>
  <si>
    <t>Saia Inc. Common Stock</t>
  </si>
  <si>
    <t>SAII</t>
  </si>
  <si>
    <t>Software Acquisition Group Inc. II Class A Common Stock</t>
  </si>
  <si>
    <t>SAIIU</t>
  </si>
  <si>
    <t>Software Acquisition Group Inc. II Unit</t>
  </si>
  <si>
    <t>SAIIW</t>
  </si>
  <si>
    <t>Software Acquisition Group Inc. II Warrant</t>
  </si>
  <si>
    <t>SAL</t>
  </si>
  <si>
    <t>Salisbury Bancorp Inc. Common Stock</t>
  </si>
  <si>
    <t>SALM</t>
  </si>
  <si>
    <t>Salem Media Group Inc. Class A Common Stock</t>
  </si>
  <si>
    <t>SAMG</t>
  </si>
  <si>
    <t>Silvercrest Asset Management Group Inc. Class A Common Stock</t>
  </si>
  <si>
    <t>SANA</t>
  </si>
  <si>
    <t>Sana Biotechnology Inc. Common Stock</t>
  </si>
  <si>
    <t>SANM</t>
  </si>
  <si>
    <t>Sanmina Corporation Common Stock</t>
  </si>
  <si>
    <t>SANW</t>
  </si>
  <si>
    <t>S&amp;W Seed Company Common Stock (NV)</t>
  </si>
  <si>
    <t>SASR</t>
  </si>
  <si>
    <t>Sandy Spring Bancorp Inc. Common Stock</t>
  </si>
  <si>
    <t>SATS</t>
  </si>
  <si>
    <t>EchoStar  Corporation Common Stock</t>
  </si>
  <si>
    <t>SAVA</t>
  </si>
  <si>
    <t>Cassava Sciences Inc. Common Stock</t>
  </si>
  <si>
    <t>SBAC</t>
  </si>
  <si>
    <t>SBA Communications Corporation Class A Common Stock</t>
  </si>
  <si>
    <t>SBBP</t>
  </si>
  <si>
    <t>Strongbridge Biopharma plc Ordinary Shares</t>
  </si>
  <si>
    <t>SBCF</t>
  </si>
  <si>
    <t>Seacoast Banking Corporation of Florida Common Stock</t>
  </si>
  <si>
    <t>SBET</t>
  </si>
  <si>
    <t>SharpLink Gaming Ltd. Ordinary Shares</t>
  </si>
  <si>
    <t>SBFG</t>
  </si>
  <si>
    <t>SB Financial Group Inc. Common Stock</t>
  </si>
  <si>
    <t>SBGI</t>
  </si>
  <si>
    <t>Sinclair Broadcast Group Inc. Class A Common Stock</t>
  </si>
  <si>
    <t>SBLK</t>
  </si>
  <si>
    <t>Star Bulk Carriers Corp. Common Shares</t>
  </si>
  <si>
    <t>SBNY</t>
  </si>
  <si>
    <t>Signature Bank Common Stock</t>
  </si>
  <si>
    <t>SBNYP</t>
  </si>
  <si>
    <t>Signature Bank Depositary shares each representing a 1/40th ownership interest in a share of 5.000% Noncumulative Perpetual Series A Preferred Stock</t>
  </si>
  <si>
    <t>SBRA</t>
  </si>
  <si>
    <t>Sabra Health Care REIT Inc. Common Stock</t>
  </si>
  <si>
    <t>SBSI</t>
  </si>
  <si>
    <t>Southside Bancshares Inc. Common Stock</t>
  </si>
  <si>
    <t>SBT</t>
  </si>
  <si>
    <t>Sterling Bancorp Inc. Common Stock</t>
  </si>
  <si>
    <t>SBTX</t>
  </si>
  <si>
    <t>Silverback Therapeutics Inc. Common Stock</t>
  </si>
  <si>
    <t>SBUX</t>
  </si>
  <si>
    <t>Starbucks Corporation Common Stock</t>
  </si>
  <si>
    <t>SCAQU</t>
  </si>
  <si>
    <t>Stratim Cloud Acquisition Corp. Unit</t>
  </si>
  <si>
    <t>SCAQW</t>
  </si>
  <si>
    <t>Stratim Cloud Acquisition Corp. Warrant</t>
  </si>
  <si>
    <t>SCHL</t>
  </si>
  <si>
    <t>Scholastic Corporation Common Stock</t>
  </si>
  <si>
    <t>SCHN</t>
  </si>
  <si>
    <t>Schnitzer Steel Industries Inc. Class A Common Stock</t>
  </si>
  <si>
    <t>SCKT</t>
  </si>
  <si>
    <t>Socket Mobile Inc. Common Stock</t>
  </si>
  <si>
    <t>SCLE</t>
  </si>
  <si>
    <t>Broadscale Acquisition Corp. Class A common stock</t>
  </si>
  <si>
    <t>SCLEU</t>
  </si>
  <si>
    <t>Broadscale Acquisition Corp. Units</t>
  </si>
  <si>
    <t>SCLEW</t>
  </si>
  <si>
    <t>Broadscale Acquisition Corp. Warrant</t>
  </si>
  <si>
    <t>SCOA</t>
  </si>
  <si>
    <t>ScION Tech Growth I Class A Ordinary Shares</t>
  </si>
  <si>
    <t>SCOAU</t>
  </si>
  <si>
    <t>ScION Tech Growth I Unit</t>
  </si>
  <si>
    <t>SCOAW</t>
  </si>
  <si>
    <t>ScION Tech Growth I Warrant</t>
  </si>
  <si>
    <t>SCOB</t>
  </si>
  <si>
    <t>ScION Tech Growth II Class A Ordinary Shares</t>
  </si>
  <si>
    <t>SCOBU</t>
  </si>
  <si>
    <t>ScION Tech Growth II Units</t>
  </si>
  <si>
    <t>SCOBW</t>
  </si>
  <si>
    <t>ScION Tech Growth II Warrants</t>
  </si>
  <si>
    <t>SCOR</t>
  </si>
  <si>
    <t>comScore Inc. Common Stock</t>
  </si>
  <si>
    <t>SCPH</t>
  </si>
  <si>
    <t>scPharmaceuticals Inc. Common Stock</t>
  </si>
  <si>
    <t>SCPL</t>
  </si>
  <si>
    <t>SciPlay Corporation Class A Common Stock</t>
  </si>
  <si>
    <t>SCPS</t>
  </si>
  <si>
    <t>Scopus BioPharma Inc. Common Stock</t>
  </si>
  <si>
    <t>SCR</t>
  </si>
  <si>
    <t>Score Media and Gaming Inc. Class A Subordinate Voting Shares</t>
  </si>
  <si>
    <t>SCSC</t>
  </si>
  <si>
    <t>ScanSource Inc. Common Stock</t>
  </si>
  <si>
    <t>SCVL</t>
  </si>
  <si>
    <t>Shoe Carnival Inc. Common Stock</t>
  </si>
  <si>
    <t>SCWX</t>
  </si>
  <si>
    <t>SecureWorks Corp. Class A Common Stock</t>
  </si>
  <si>
    <t>SCYX</t>
  </si>
  <si>
    <t>SCYNEXIS Inc. Common Stock</t>
  </si>
  <si>
    <t>SDAC</t>
  </si>
  <si>
    <t>Sustainable Development Acquisition I Corp. Class A Common Stock</t>
  </si>
  <si>
    <t>SDACW</t>
  </si>
  <si>
    <t>Sustainable Development Acquisition I Corp. Warrant</t>
  </si>
  <si>
    <t>SDC</t>
  </si>
  <si>
    <t>SmileDirectClub Inc. Class A Common Stock</t>
  </si>
  <si>
    <t>SDGR</t>
  </si>
  <si>
    <t>Schrodinger Inc. Common Stock</t>
  </si>
  <si>
    <t>SDH</t>
  </si>
  <si>
    <t>Global Internet of People Inc. Ordinary Shares</t>
  </si>
  <si>
    <t>SEAC</t>
  </si>
  <si>
    <t>SeaChange International Inc. Common Stock</t>
  </si>
  <si>
    <t>SECO</t>
  </si>
  <si>
    <t>Secoo Holding Limited ADR</t>
  </si>
  <si>
    <t>SEDG</t>
  </si>
  <si>
    <t>SolarEdge Technologies Inc. Common Stock</t>
  </si>
  <si>
    <t>SEED</t>
  </si>
  <si>
    <t>Origin Agritech Limited Common Stock</t>
  </si>
  <si>
    <t>SEEL</t>
  </si>
  <si>
    <t>Seelos Therapeutics Inc. Common Stock</t>
  </si>
  <si>
    <t>SEER</t>
  </si>
  <si>
    <t>Seer Inc. Class A Common Stock</t>
  </si>
  <si>
    <t>SEIC</t>
  </si>
  <si>
    <t>SEI Investments Company Common Stock</t>
  </si>
  <si>
    <t>SELB</t>
  </si>
  <si>
    <t>Selecta Biosciences Inc. Common Stock</t>
  </si>
  <si>
    <t>SELF</t>
  </si>
  <si>
    <t>Global Self Storage Inc. Common Stock</t>
  </si>
  <si>
    <t>SENEA</t>
  </si>
  <si>
    <t>Seneca Foods Corp. Class A Common Stock</t>
  </si>
  <si>
    <t>SENEB</t>
  </si>
  <si>
    <t>Seneca Foods Corp. Class B Common Stock</t>
  </si>
  <si>
    <t>SERA</t>
  </si>
  <si>
    <t>Sera Prognostics Inc. Class A Common Stock</t>
  </si>
  <si>
    <t>SESN</t>
  </si>
  <si>
    <t>Sesen Bio Inc. Common Stock</t>
  </si>
  <si>
    <t>SFBC</t>
  </si>
  <si>
    <t>Sound Financial Bancorp Inc. Common Stock</t>
  </si>
  <si>
    <t>SFET</t>
  </si>
  <si>
    <t>Safe-T Group Ltd. American Depositary Share</t>
  </si>
  <si>
    <t>SFIX</t>
  </si>
  <si>
    <t>Stitch Fix Inc. Class A Common Stock</t>
  </si>
  <si>
    <t>SFM</t>
  </si>
  <si>
    <t>Sprouts Farmers Market Inc. Common Stock</t>
  </si>
  <si>
    <t>SFNC</t>
  </si>
  <si>
    <t>Simmons First National Corporation Class A Common Stock</t>
  </si>
  <si>
    <t>SFST</t>
  </si>
  <si>
    <t>Southern First Bancshares Inc. Common Stock</t>
  </si>
  <si>
    <t>SFT</t>
  </si>
  <si>
    <t>Shift Technologies Inc. Class A Common Stock</t>
  </si>
  <si>
    <t>SGA</t>
  </si>
  <si>
    <t>Saga Communications Inc. Class A Common Stock (FL)</t>
  </si>
  <si>
    <t>SGAM</t>
  </si>
  <si>
    <t>Seaport Global Acquisition Corp. Class A Common Stock</t>
  </si>
  <si>
    <t>SGAMW</t>
  </si>
  <si>
    <t>Seaport Global Acquisition Corp. Warrant</t>
  </si>
  <si>
    <t>SGBX</t>
  </si>
  <si>
    <t>SG Blocks Inc. Common Stock</t>
  </si>
  <si>
    <t>SGC</t>
  </si>
  <si>
    <t>Superior Group of Companies Inc. Common Stock</t>
  </si>
  <si>
    <t>SGEN</t>
  </si>
  <si>
    <t>Seagen Inc. Common Stock</t>
  </si>
  <si>
    <t>SGH</t>
  </si>
  <si>
    <t>SMART Global Holdings Inc. Ordinary Shares</t>
  </si>
  <si>
    <t>SGHT</t>
  </si>
  <si>
    <t>Sight Sciences Inc. Common Stock</t>
  </si>
  <si>
    <t>SGLB</t>
  </si>
  <si>
    <t>Sigma Labs Inc. Common Stock</t>
  </si>
  <si>
    <t>SGLBW</t>
  </si>
  <si>
    <t>Sigma Labs Inc. Warrant</t>
  </si>
  <si>
    <t>SGMA</t>
  </si>
  <si>
    <t>SigmaTron International Inc. Common Stock</t>
  </si>
  <si>
    <t>SGMO</t>
  </si>
  <si>
    <t>Sangamo Therapeutics Inc. Common Stock</t>
  </si>
  <si>
    <t>SGMS</t>
  </si>
  <si>
    <t>Scientific Games Corp Common Stock</t>
  </si>
  <si>
    <t>SGOC</t>
  </si>
  <si>
    <t>SGOCO Group Ltd Ordinary Shares (Cayman Islands)</t>
  </si>
  <si>
    <t>SGRP</t>
  </si>
  <si>
    <t>SPAR Group Inc. Common Stock</t>
  </si>
  <si>
    <t>SGRY</t>
  </si>
  <si>
    <t>Surgery Partners Inc. Common Stock</t>
  </si>
  <si>
    <t>SGTX</t>
  </si>
  <si>
    <t>Sigilon Therapeutics Inc. Common Stock</t>
  </si>
  <si>
    <t>SHAC</t>
  </si>
  <si>
    <t>SCP &amp; CO Healthcare Acquisition Company Class A Common Stock</t>
  </si>
  <si>
    <t>SHACU</t>
  </si>
  <si>
    <t>SCP &amp; CO Healthcare Acquisition Company Unit</t>
  </si>
  <si>
    <t>SHACW</t>
  </si>
  <si>
    <t>SCP &amp; CO Healthcare Acquisition Company Warrant</t>
  </si>
  <si>
    <t>SHBI</t>
  </si>
  <si>
    <t>Shore Bancshares Inc Common Stock</t>
  </si>
  <si>
    <t>SHC</t>
  </si>
  <si>
    <t>Sotera Health Company Common Stock</t>
  </si>
  <si>
    <t>SHCR</t>
  </si>
  <si>
    <t>Sharecare Inc. Class A Common Stock</t>
  </si>
  <si>
    <t>SHCRW</t>
  </si>
  <si>
    <t>Sharecare Inc. Warrant</t>
  </si>
  <si>
    <t>SHEN</t>
  </si>
  <si>
    <t>Shenandoah Telecommunications Co Common Stock</t>
  </si>
  <si>
    <t>SHIP</t>
  </si>
  <si>
    <t>Seanergy Maritime Holdings Corp Common Stock</t>
  </si>
  <si>
    <t>SHIPW</t>
  </si>
  <si>
    <t>Seanergy Maritime Holdings Corp Class A Warrants</t>
  </si>
  <si>
    <t>SHIPZ</t>
  </si>
  <si>
    <t>Seanergy Maritime Holdings Corp Class B Warrant</t>
  </si>
  <si>
    <t>SHLS</t>
  </si>
  <si>
    <t>Shoals Technologies Group Inc. Class A Common Stock</t>
  </si>
  <si>
    <t>SHOO</t>
  </si>
  <si>
    <t>Steven Madden Ltd. Common Stock</t>
  </si>
  <si>
    <t>SHQAU</t>
  </si>
  <si>
    <t>Shelter Acquisition Corporation I Units</t>
  </si>
  <si>
    <t>SHSP</t>
  </si>
  <si>
    <t>SharpSpring Inc. Common Stock</t>
  </si>
  <si>
    <t>SHYF</t>
  </si>
  <si>
    <t>The Shyft Group Inc. Common Stock</t>
  </si>
  <si>
    <t>SIBN</t>
  </si>
  <si>
    <t>SI-BONE Inc. Common Stock</t>
  </si>
  <si>
    <t>SIC</t>
  </si>
  <si>
    <t>Select Interior Concepts Inc. Class A Common Stock</t>
  </si>
  <si>
    <t>SIEB</t>
  </si>
  <si>
    <t>Siebert Financial Corp. Common Stock</t>
  </si>
  <si>
    <t>SIEN</t>
  </si>
  <si>
    <t>Sientra Inc. Common Stock</t>
  </si>
  <si>
    <t>SIFY</t>
  </si>
  <si>
    <t>Sify Technologies Limited American Depositary Shares</t>
  </si>
  <si>
    <t>SIGA</t>
  </si>
  <si>
    <t>SIGA Technologies Inc. Common Stock</t>
  </si>
  <si>
    <t>SIGI</t>
  </si>
  <si>
    <t>Selective Insurance Group Inc. Common Stock</t>
  </si>
  <si>
    <t>SIGIP</t>
  </si>
  <si>
    <t>Selective Insurance Group Inc. Depositary Shares each representing a 1/1000th interest in a share of 4.60% Non-Cumulative Preferred Stock Series B</t>
  </si>
  <si>
    <t>SILC</t>
  </si>
  <si>
    <t>Silicom Ltd Ordinary Shares</t>
  </si>
  <si>
    <t>SILK</t>
  </si>
  <si>
    <t>Silk Road Medical Inc. Common Stock</t>
  </si>
  <si>
    <t>SIMO</t>
  </si>
  <si>
    <t>Silicon Motion Technology Corporation American Depositary Shares</t>
  </si>
  <si>
    <t>SINO</t>
  </si>
  <si>
    <t>Sino-Global Shipping America Ltd. Common Stock</t>
  </si>
  <si>
    <t>SINT</t>
  </si>
  <si>
    <t>SiNtx Technologies Inc. Common Stock</t>
  </si>
  <si>
    <t>SIOX</t>
  </si>
  <si>
    <t>Sio Gene Therapies Inc. Common Stock</t>
  </si>
  <si>
    <t>SIRI</t>
  </si>
  <si>
    <t>Sirius XM Holdings Inc. Common Stock</t>
  </si>
  <si>
    <t>SITM</t>
  </si>
  <si>
    <t>SiTime Corporation Common Stock</t>
  </si>
  <si>
    <t>SIVB</t>
  </si>
  <si>
    <t>SVB Financial Group Common Stock</t>
  </si>
  <si>
    <t>SIVBP</t>
  </si>
  <si>
    <t>SVB Financial Group Depositary Shs each representing a 1/40th interest in a share of 5.25% Fixed-Rate Non-Cumulative Perpetual Preferred Stock Series A</t>
  </si>
  <si>
    <t>SJ</t>
  </si>
  <si>
    <t>Scienjoy Holding Corporation Ordinary Shares</t>
  </si>
  <si>
    <t>SKIN</t>
  </si>
  <si>
    <t>The Beauty Health Company Class A Common Stock</t>
  </si>
  <si>
    <t>SKINW</t>
  </si>
  <si>
    <t>The Beauty Health Company Warrant expiring 5/4/2026</t>
  </si>
  <si>
    <t>SKYA</t>
  </si>
  <si>
    <t>Skydeck Acquisition Corp. Class A Ordinary Shares</t>
  </si>
  <si>
    <t>SKYAU</t>
  </si>
  <si>
    <t>Skydeck Acquisition Corp. Units</t>
  </si>
  <si>
    <t>SKYT</t>
  </si>
  <si>
    <t>SkyWater Technology Inc. Common Stock</t>
  </si>
  <si>
    <t>SKYW</t>
  </si>
  <si>
    <t>SkyWest Inc. Common Stock</t>
  </si>
  <si>
    <t>SLAB</t>
  </si>
  <si>
    <t>Silicon Laboratories Inc. Common Stock</t>
  </si>
  <si>
    <t>SLAM</t>
  </si>
  <si>
    <t>Slam Corp. Class A Ordinary Share</t>
  </si>
  <si>
    <t>SLAMU</t>
  </si>
  <si>
    <t>Slam Corp. Unit</t>
  </si>
  <si>
    <t>SLAMW</t>
  </si>
  <si>
    <t>Slam Corp. warrant</t>
  </si>
  <si>
    <t>SLCR</t>
  </si>
  <si>
    <t>Silver Crest Acquisition Corporation Class A Ordinary Share</t>
  </si>
  <si>
    <t>SLCRU</t>
  </si>
  <si>
    <t>Silver Crest Acquisition Corporation Unit</t>
  </si>
  <si>
    <t>SLCRW</t>
  </si>
  <si>
    <t>Silver Crest Acquisition Corporation Warrant</t>
  </si>
  <si>
    <t>SLCT</t>
  </si>
  <si>
    <t>Select Bancorp Inc. Common Stock</t>
  </si>
  <si>
    <t>SLDB</t>
  </si>
  <si>
    <t>Solid Biosciences Inc. Common Stock</t>
  </si>
  <si>
    <t>SLGG</t>
  </si>
  <si>
    <t>Super League Gaming Inc. Common Stock</t>
  </si>
  <si>
    <t>SLGL</t>
  </si>
  <si>
    <t>Sol-Gel Technologies Ltd. Ordinary Shares</t>
  </si>
  <si>
    <t>SLGN</t>
  </si>
  <si>
    <t>Silgan Holdings Inc. Common Stock</t>
  </si>
  <si>
    <t>SLHG</t>
  </si>
  <si>
    <t>Skylight Health Group Inc. Ordinary Shares</t>
  </si>
  <si>
    <t>SLM</t>
  </si>
  <si>
    <t>SLM Corporation Common Stock</t>
  </si>
  <si>
    <t>SLMBP</t>
  </si>
  <si>
    <t>SLM Corporation Floating Rate Non-Cumulative Preferred Stock Series B</t>
  </si>
  <si>
    <t>SLN</t>
  </si>
  <si>
    <t>Silence Therapeutics Plc American Depository Share</t>
  </si>
  <si>
    <t>SLNG</t>
  </si>
  <si>
    <t>Stabilis Solutions Inc. Common Stock</t>
  </si>
  <si>
    <t>SLNO</t>
  </si>
  <si>
    <t>Soleno Therapeutics Inc. Common Stock</t>
  </si>
  <si>
    <t>SLP</t>
  </si>
  <si>
    <t>Simulations Plus Inc. Common Stock</t>
  </si>
  <si>
    <t>SLRC</t>
  </si>
  <si>
    <t>SLR Investment Corp. Common Stock</t>
  </si>
  <si>
    <t>SLRX</t>
  </si>
  <si>
    <t>Salarius Pharmaceuticals Inc. Common Stock</t>
  </si>
  <si>
    <t>SLS</t>
  </si>
  <si>
    <t>SELLAS Life Sciences Group Inc. Common Stock</t>
  </si>
  <si>
    <t>SMBC</t>
  </si>
  <si>
    <t>Southern Missouri Bancorp Inc. Common Stock</t>
  </si>
  <si>
    <t>SMBK</t>
  </si>
  <si>
    <t>SmartFinancial Inc. Common Stock</t>
  </si>
  <si>
    <t>SMCI</t>
  </si>
  <si>
    <t>Super Micro Computer Inc. Common Stock</t>
  </si>
  <si>
    <t>SMED</t>
  </si>
  <si>
    <t>Sharps Compliance Corp. Common Stock</t>
  </si>
  <si>
    <t>SMFR</t>
  </si>
  <si>
    <t>Sema4 Holdings Corp. Class A Common Stock</t>
  </si>
  <si>
    <t>SMFRW</t>
  </si>
  <si>
    <t>Sema4 Holdings Corp. Warrant</t>
  </si>
  <si>
    <t>SMID</t>
  </si>
  <si>
    <t>Smith-Midland Corporation Common Stock</t>
  </si>
  <si>
    <t>SMIH</t>
  </si>
  <si>
    <t>Summit Healthcare Acquisition Corp. Class A Ordinary Share</t>
  </si>
  <si>
    <t>SMIHU</t>
  </si>
  <si>
    <t>Summit Healthcare Acquisition Corp. Units</t>
  </si>
  <si>
    <t>SMIT</t>
  </si>
  <si>
    <t>Schmitt Industries Inc. Common Stock</t>
  </si>
  <si>
    <t>SMMF</t>
  </si>
  <si>
    <t>Summit Financial Group Inc. Common Stock</t>
  </si>
  <si>
    <t>SMMT</t>
  </si>
  <si>
    <t>Summit Therapeutics Inc. Common Stock</t>
  </si>
  <si>
    <t>SMPL</t>
  </si>
  <si>
    <t>The Simply Good Foods Company Common Stock</t>
  </si>
  <si>
    <t>SMSI</t>
  </si>
  <si>
    <t>Smith Micro Software Inc. Common Stock</t>
  </si>
  <si>
    <t>SMTC</t>
  </si>
  <si>
    <t>Semtech Corporation Common Stock</t>
  </si>
  <si>
    <t>SMTI</t>
  </si>
  <si>
    <t>Sanara MedTech Inc. Common Stock</t>
  </si>
  <si>
    <t>SNAX</t>
  </si>
  <si>
    <t>Stryve Foods Inc. Class A Common Stock</t>
  </si>
  <si>
    <t>SNAXW</t>
  </si>
  <si>
    <t>Stryve Foods Inc. Warrant</t>
  </si>
  <si>
    <t>SNBR</t>
  </si>
  <si>
    <t>Sleep Number Corporation Common Stock</t>
  </si>
  <si>
    <t>SNCR</t>
  </si>
  <si>
    <t>Synchronoss Technologies Inc. Common Stock</t>
  </si>
  <si>
    <t>SNCRL</t>
  </si>
  <si>
    <t>Synchronoss Technologies Inc. 8.375% Senior Notes due 2026</t>
  </si>
  <si>
    <t>SNCY</t>
  </si>
  <si>
    <t>Sun Country Airlines Holdings Inc. Common Stock</t>
  </si>
  <si>
    <t>SND</t>
  </si>
  <si>
    <t>Smart Sand Inc. Common Stock</t>
  </si>
  <si>
    <t>SNDL</t>
  </si>
  <si>
    <t>Sundial Growers Inc. Common Shares</t>
  </si>
  <si>
    <t>SNDX</t>
  </si>
  <si>
    <t>Syndax Pharmaceuticals Inc. Common Stock</t>
  </si>
  <si>
    <t>SNES</t>
  </si>
  <si>
    <t>SenesTech Inc. Common Stock</t>
  </si>
  <si>
    <t>SNEX</t>
  </si>
  <si>
    <t>StoneX Group Inc. Common Stock</t>
  </si>
  <si>
    <t>SNFCA</t>
  </si>
  <si>
    <t>Security National Financial Corporation Class A Common Stock</t>
  </si>
  <si>
    <t>SNGX</t>
  </si>
  <si>
    <t>Soligenix Inc. Common Stock</t>
  </si>
  <si>
    <t>SNGXW</t>
  </si>
  <si>
    <t>Soligenix Inc. Warrant</t>
  </si>
  <si>
    <t>SNOA</t>
  </si>
  <si>
    <t>Sonoma Pharmaceuticals Inc. Common Stock</t>
  </si>
  <si>
    <t>SNPO</t>
  </si>
  <si>
    <t>Snap One Holdings Corp. Common Stock</t>
  </si>
  <si>
    <t>SNPS</t>
  </si>
  <si>
    <t>Synopsys Inc. Common Stock</t>
  </si>
  <si>
    <t>SNPX</t>
  </si>
  <si>
    <t>Synaptogenix Inc. Common Stock</t>
  </si>
  <si>
    <t>SNRH</t>
  </si>
  <si>
    <t>Senior Connect Acquisition Corp. I Class A Common Stock</t>
  </si>
  <si>
    <t>SNRHU</t>
  </si>
  <si>
    <t>Senior Connect Acquisition Corp. I Unit</t>
  </si>
  <si>
    <t>SNRHW</t>
  </si>
  <si>
    <t>Senior Connect Acquisition Corp. I Warrant</t>
  </si>
  <si>
    <t>SNSE</t>
  </si>
  <si>
    <t>Sensei Biotherapeutics Inc. Common Stock</t>
  </si>
  <si>
    <t>SNTG</t>
  </si>
  <si>
    <t>Sentage Holdings Inc. Ordinary Shares</t>
  </si>
  <si>
    <t>SNY</t>
  </si>
  <si>
    <t>Sanofi ADR</t>
  </si>
  <si>
    <t>SOFI</t>
  </si>
  <si>
    <t>SoFi Technologies Inc. Common Stock</t>
  </si>
  <si>
    <t>SOFIW</t>
  </si>
  <si>
    <t>SoFi Technologies Inc. Warrants</t>
  </si>
  <si>
    <t>SOHO</t>
  </si>
  <si>
    <t>Sotherly Hotels Inc. Common Stock</t>
  </si>
  <si>
    <t>SOHOB</t>
  </si>
  <si>
    <t>Sotherly Hotels Inc. 8.0% Series B Cumulative Redeemable Perpetual Preferred Stock</t>
  </si>
  <si>
    <t>SOHON</t>
  </si>
  <si>
    <t>Sotherly Hotels Inc. 8.25% Series D Cumulative Redeemable Perpetual Preferred Stock</t>
  </si>
  <si>
    <t>SOHOO</t>
  </si>
  <si>
    <t>Sotherly Hotels Inc. 7.875% Series C Cumulative Redeemable Perpetual Preferred Stock</t>
  </si>
  <si>
    <t>SOHU</t>
  </si>
  <si>
    <t>Sohu.com Limited American Depositary Shares</t>
  </si>
  <si>
    <t>SOLO</t>
  </si>
  <si>
    <t>Electrameccanica Vehicles Corp. Ltd. Common Stock</t>
  </si>
  <si>
    <t>SOLOW</t>
  </si>
  <si>
    <t>Electrameccanica Vehicles Corp. Ltd. Warrants</t>
  </si>
  <si>
    <t>SOLY</t>
  </si>
  <si>
    <t>Soliton Inc. Common Stock</t>
  </si>
  <si>
    <t>SONM</t>
  </si>
  <si>
    <t>Sonim Technologies Inc. Common Stock</t>
  </si>
  <si>
    <t>SONN</t>
  </si>
  <si>
    <t>Sonnet BioTherapeutics Holdings Inc. Common Stock</t>
  </si>
  <si>
    <t>SONO</t>
  </si>
  <si>
    <t>Sonos Inc. Common Stock</t>
  </si>
  <si>
    <t>SOPH</t>
  </si>
  <si>
    <t>SOPHiA GENETICS SA Ordinary Shares</t>
  </si>
  <si>
    <t>SP</t>
  </si>
  <si>
    <t>SP Plus Corporation Common Stock</t>
  </si>
  <si>
    <t>SPCB</t>
  </si>
  <si>
    <t>SuperCom Ltd. Ordinary Shares (Israel)</t>
  </si>
  <si>
    <t>SPFI</t>
  </si>
  <si>
    <t>South Plains Financial Inc. Common Stock</t>
  </si>
  <si>
    <t>SPI</t>
  </si>
  <si>
    <t>SPI Energy Co. Ltd. Ordinary Shares</t>
  </si>
  <si>
    <t>SPK</t>
  </si>
  <si>
    <t>SPK Acquisition Corp. Common Stock</t>
  </si>
  <si>
    <t>SPKAU</t>
  </si>
  <si>
    <t>SPK Acquisition Corp Unit</t>
  </si>
  <si>
    <t>SPKB</t>
  </si>
  <si>
    <t>Silver Spike Acquisition Corp II Class A Ordinary Shares</t>
  </si>
  <si>
    <t>SPKBU</t>
  </si>
  <si>
    <t>Silver Spike Acquisition Corp II Units</t>
  </si>
  <si>
    <t>SPKBW</t>
  </si>
  <si>
    <t>Silver Spike Acquisition Corp II Warrant</t>
  </si>
  <si>
    <t>SPKE</t>
  </si>
  <si>
    <t>Spark Energy Inc. Class A Common Stock</t>
  </si>
  <si>
    <t>SPKEP</t>
  </si>
  <si>
    <t>Spark Energy Inc. 8.75% Series A Fixed-to-Floating Rate Cumulative Redeemable Perpetual Preferred Stock</t>
  </si>
  <si>
    <t>SPLK</t>
  </si>
  <si>
    <t>Splunk Inc. Common Stock</t>
  </si>
  <si>
    <t>SPNE</t>
  </si>
  <si>
    <t>SeaSpine Holdings Corporation Common Stock</t>
  </si>
  <si>
    <t>SPNS</t>
  </si>
  <si>
    <t>Sapiens International Corporation N.V. Common Shares (Cayman Islands)</t>
  </si>
  <si>
    <t>SPOK</t>
  </si>
  <si>
    <t>Spok Holdings Inc. Common Stock</t>
  </si>
  <si>
    <t>SPPI</t>
  </si>
  <si>
    <t>Spectrum Pharmaceuticals Inc.Common Stock</t>
  </si>
  <si>
    <t>SPRB</t>
  </si>
  <si>
    <t>Spruce Biosciences Inc. Common Stock</t>
  </si>
  <si>
    <t>SPRO</t>
  </si>
  <si>
    <t>Spero Therapeutics Inc. Common Stock</t>
  </si>
  <si>
    <t>SPRT</t>
  </si>
  <si>
    <t>Support.com Inc. Common Stock</t>
  </si>
  <si>
    <t>SPSC</t>
  </si>
  <si>
    <t>SPS Commerce Inc. Common Stock</t>
  </si>
  <si>
    <t>SPT</t>
  </si>
  <si>
    <t>Sprout Social Inc Class A Common Stock</t>
  </si>
  <si>
    <t>SPTK</t>
  </si>
  <si>
    <t>SportsTek Acquisition Corp. Class A Common Stock</t>
  </si>
  <si>
    <t>SPTKU</t>
  </si>
  <si>
    <t>SportsTek Acquisition Corp. Unit</t>
  </si>
  <si>
    <t>SPTKW</t>
  </si>
  <si>
    <t>SportsTek Acquisition Corp. Warrant</t>
  </si>
  <si>
    <t>SPTN</t>
  </si>
  <si>
    <t>SpartanNash Company Common Stock</t>
  </si>
  <si>
    <t>SPWH</t>
  </si>
  <si>
    <t>Sportsman's Warehouse Holdings Inc. Common Stock</t>
  </si>
  <si>
    <t>SPWR</t>
  </si>
  <si>
    <t>SunPower Corporation Common Stock</t>
  </si>
  <si>
    <t>SQBG</t>
  </si>
  <si>
    <t>Sequential Brands Group Inc. Common Stock</t>
  </si>
  <si>
    <t>SQFT</t>
  </si>
  <si>
    <t>Presidio Property Trust Inc. Class A Common Stock</t>
  </si>
  <si>
    <t>SQFTP</t>
  </si>
  <si>
    <t>Presidio Property Trust Inc. 9.375% Series D Cumulative Redeemable Perpetual Preferred Stock $0.01 par value per share</t>
  </si>
  <si>
    <t>SRAC</t>
  </si>
  <si>
    <t>Stable Road Acquisition Corp. Class A Common Stock</t>
  </si>
  <si>
    <t>SRACU</t>
  </si>
  <si>
    <t>Stable Road Acquisition Corp. Unit</t>
  </si>
  <si>
    <t>SRACW</t>
  </si>
  <si>
    <t>Stable Road Acquisition Corp. Warrant</t>
  </si>
  <si>
    <t>SRAX</t>
  </si>
  <si>
    <t>SRAX Inc. Class A Common Stock</t>
  </si>
  <si>
    <t>SRCE</t>
  </si>
  <si>
    <t>1st Source Corporation Common Stock</t>
  </si>
  <si>
    <t>SRCL</t>
  </si>
  <si>
    <t>Stericycle Inc. Common Stock</t>
  </si>
  <si>
    <t>SRDX</t>
  </si>
  <si>
    <t>Surmodics Inc. Common Stock</t>
  </si>
  <si>
    <t>SREV</t>
  </si>
  <si>
    <t>ServiceSource International Inc. Common Stock</t>
  </si>
  <si>
    <t>SRGA</t>
  </si>
  <si>
    <t>Surgalign Holdings Inc. Common Stock</t>
  </si>
  <si>
    <t>SRNE</t>
  </si>
  <si>
    <t>Sorrento Therapeutics Inc.  Common Stock</t>
  </si>
  <si>
    <t>SRNG</t>
  </si>
  <si>
    <t>Soaring Eagle Acquisition Corp. Class A Ordinary Share</t>
  </si>
  <si>
    <t>SRNGU</t>
  </si>
  <si>
    <t>Soaring Eagle Acquisition Corp. Unit</t>
  </si>
  <si>
    <t>SRNGW</t>
  </si>
  <si>
    <t>Soaring Eagle Acquisition Corp. Warrant</t>
  </si>
  <si>
    <t>SRPT</t>
  </si>
  <si>
    <t>Sarepta Therapeutics Inc. Common Stock (DE)</t>
  </si>
  <si>
    <t>SRRA</t>
  </si>
  <si>
    <t>Sierra Oncology Inc. Common Stock</t>
  </si>
  <si>
    <t>SRRK</t>
  </si>
  <si>
    <t>Scholar Rock Holding Corporation Common Stock</t>
  </si>
  <si>
    <t>SRSA</t>
  </si>
  <si>
    <t>Sarissa Capital Acquisition Corp. Class A Ordinary Shares</t>
  </si>
  <si>
    <t>SRTS</t>
  </si>
  <si>
    <t>Sensus Healthcare Inc. Common Stock</t>
  </si>
  <si>
    <t>SSAA</t>
  </si>
  <si>
    <t>Science Strategic Acquisition Corp. Alpha Class A Common Stock</t>
  </si>
  <si>
    <t>SSAAU</t>
  </si>
  <si>
    <t>Science Strategic Acquisition Corp. Alpha Unit</t>
  </si>
  <si>
    <t>SSAAW</t>
  </si>
  <si>
    <t>Science Strategic Acquisition Corp. Alpha Warrant</t>
  </si>
  <si>
    <t>SSB</t>
  </si>
  <si>
    <t>South State Corporation Common Stock</t>
  </si>
  <si>
    <t>SSBI</t>
  </si>
  <si>
    <t>Summit State Bank Common Stock</t>
  </si>
  <si>
    <t>SSKN</t>
  </si>
  <si>
    <t>Strata Skin Sciences Inc. Common Stock</t>
  </si>
  <si>
    <t>SSNC</t>
  </si>
  <si>
    <t>SS&amp;C Technologies Holdings Inc. Common Stock</t>
  </si>
  <si>
    <t>SSNT</t>
  </si>
  <si>
    <t>SilverSun Technologies Inc. Common Stock</t>
  </si>
  <si>
    <t>SSP</t>
  </si>
  <si>
    <t>E.W. Scripps Company (The) Class A Common Stock</t>
  </si>
  <si>
    <t>SSRM</t>
  </si>
  <si>
    <t>SSR Mining Inc. Common Stock</t>
  </si>
  <si>
    <t>SSSS</t>
  </si>
  <si>
    <t>SuRo Capital Corp. Common Stock</t>
  </si>
  <si>
    <t>SSTI</t>
  </si>
  <si>
    <t>ShotSpotter Inc. Common Stock</t>
  </si>
  <si>
    <t>SSYS</t>
  </si>
  <si>
    <t>Stratasys Ltd. Ordinary Shares (Israel)</t>
  </si>
  <si>
    <t>STAA</t>
  </si>
  <si>
    <t>STAAR Surgical Company Common Stock</t>
  </si>
  <si>
    <t>STAF</t>
  </si>
  <si>
    <t>Staffing 360 Solutions Inc. Common Stock (DE)</t>
  </si>
  <si>
    <t>STBA</t>
  </si>
  <si>
    <t>S&amp;T Bancorp Inc. Common Stock</t>
  </si>
  <si>
    <t>STCN</t>
  </si>
  <si>
    <t>Steel Connect Inc. Common Stock</t>
  </si>
  <si>
    <t>STEP</t>
  </si>
  <si>
    <t>StepStone Group Inc. Class A Common Stock</t>
  </si>
  <si>
    <t>STFC</t>
  </si>
  <si>
    <t>State Auto Financial Corporation Common Stock</t>
  </si>
  <si>
    <t>STGW</t>
  </si>
  <si>
    <t>Stagwell Inc. Class A Common Stock</t>
  </si>
  <si>
    <t>STIM</t>
  </si>
  <si>
    <t>Neuronetics Inc. Common Stock</t>
  </si>
  <si>
    <t>STKL</t>
  </si>
  <si>
    <t>SunOpta Inc. Common Stock</t>
  </si>
  <si>
    <t>STKS</t>
  </si>
  <si>
    <t>The ONE Group Hospitality Inc. Common Stock</t>
  </si>
  <si>
    <t>STLD</t>
  </si>
  <si>
    <t>Steel Dynamics Inc.</t>
  </si>
  <si>
    <t>STMP</t>
  </si>
  <si>
    <t>Stamps.com Inc.  Common Stock ($0.001 Par Value)</t>
  </si>
  <si>
    <t>STNE</t>
  </si>
  <si>
    <t>StoneCo Ltd. Class A Common Shares</t>
  </si>
  <si>
    <t>STOK</t>
  </si>
  <si>
    <t>Stoke Therapeutics Inc. Common Stock</t>
  </si>
  <si>
    <t>STRA</t>
  </si>
  <si>
    <t>Strategic Education Inc. Common Stock</t>
  </si>
  <si>
    <t>STRL</t>
  </si>
  <si>
    <t>Sterling Construction Company Inc Common Stock</t>
  </si>
  <si>
    <t>STRM</t>
  </si>
  <si>
    <t>Streamline Health Solutions Inc. Common Stock</t>
  </si>
  <si>
    <t>STRO</t>
  </si>
  <si>
    <t>Sutro Biopharma Inc. Common Stock</t>
  </si>
  <si>
    <t>STRR</t>
  </si>
  <si>
    <t>Star Equity Holdings Inc. Common Stock</t>
  </si>
  <si>
    <t>STRRP</t>
  </si>
  <si>
    <t>Star Equity Holdings Inc. Series A Cumulative Perpetual Preferred Stock</t>
  </si>
  <si>
    <t>STRS</t>
  </si>
  <si>
    <t>Stratus Properties Inc. Common Stock</t>
  </si>
  <si>
    <t>STRT</t>
  </si>
  <si>
    <t>STRATTEC SECURITY CORPORATION Common Stock</t>
  </si>
  <si>
    <t>STSA</t>
  </si>
  <si>
    <t>Satsuma Pharmaceuticals Inc. Common Stock</t>
  </si>
  <si>
    <t>STTK</t>
  </si>
  <si>
    <t>Shattuck Labs Inc. Common Stock</t>
  </si>
  <si>
    <t>STWO</t>
  </si>
  <si>
    <t>ACON S2 Acquisition Corp. Class A Ordinary Shares</t>
  </si>
  <si>
    <t>STWOU</t>
  </si>
  <si>
    <t>ACON S2 Acquisition Corp. Unit</t>
  </si>
  <si>
    <t>STWOW</t>
  </si>
  <si>
    <t>ACON S2 Acquisition Corp. Warrant</t>
  </si>
  <si>
    <t>STX</t>
  </si>
  <si>
    <t>Seagate Technology Holdings PLC Ordinary Shares (Ireland)</t>
  </si>
  <si>
    <t>STXB</t>
  </si>
  <si>
    <t>Spirit of Texas Bancshares Inc. Common Stock</t>
  </si>
  <si>
    <t>SUMO</t>
  </si>
  <si>
    <t>Sumo Logic Inc. Common Stock</t>
  </si>
  <si>
    <t>SUMR</t>
  </si>
  <si>
    <t>Summer Infant Inc. Common Stock</t>
  </si>
  <si>
    <t>SUNS</t>
  </si>
  <si>
    <t>SLR Senior Investment Corp. Common Stock</t>
  </si>
  <si>
    <t>SUNW</t>
  </si>
  <si>
    <t>Sunworks Inc. Common Stock</t>
  </si>
  <si>
    <t>SUPN</t>
  </si>
  <si>
    <t>Supernus Pharmaceuticals Inc. Common Stock</t>
  </si>
  <si>
    <t>SURF</t>
  </si>
  <si>
    <t>Surface Oncology Inc. Common Stock</t>
  </si>
  <si>
    <t>SV</t>
  </si>
  <si>
    <t>Spring Valley Acquisition Corp. Class A Ordinary Share</t>
  </si>
  <si>
    <t>SVBI</t>
  </si>
  <si>
    <t>Severn Bancorp Inc</t>
  </si>
  <si>
    <t>SVC</t>
  </si>
  <si>
    <t>Service Properties Trust Common Stock</t>
  </si>
  <si>
    <t>SVFA</t>
  </si>
  <si>
    <t>SVF Investment Corp. Class A Ordinary Shares</t>
  </si>
  <si>
    <t>SVFAU</t>
  </si>
  <si>
    <t>SVF Investment Corp. Unit</t>
  </si>
  <si>
    <t>SVFAW</t>
  </si>
  <si>
    <t>SVF Investment Corp. Warrant</t>
  </si>
  <si>
    <t>SVFB</t>
  </si>
  <si>
    <t>SVF Investment Corp. 2 Class A Ordinary Shares</t>
  </si>
  <si>
    <t>SVFC</t>
  </si>
  <si>
    <t>SVF Investment Corp. 3 Class A Ordinary Shares</t>
  </si>
  <si>
    <t>SVFD</t>
  </si>
  <si>
    <t>Save Foods Inc. Common Stock</t>
  </si>
  <si>
    <t>SVOK</t>
  </si>
  <si>
    <t>Seven Oaks Acquisition Corp. Class A Common Stock</t>
  </si>
  <si>
    <t>SVOKW</t>
  </si>
  <si>
    <t>Seven Oaks Acquisition Corp. Warrant</t>
  </si>
  <si>
    <t>SVRA</t>
  </si>
  <si>
    <t>Savara Inc. Common Stock</t>
  </si>
  <si>
    <t>SVSVU</t>
  </si>
  <si>
    <t>Spring Valley Acquisition Corp. Unit</t>
  </si>
  <si>
    <t>SVSVW</t>
  </si>
  <si>
    <t>Spring Valley Acquisition Corp. Warrant</t>
  </si>
  <si>
    <t>SVVC</t>
  </si>
  <si>
    <t>Firsthand Technology Value Fund Inc. Common Stock</t>
  </si>
  <si>
    <t>SWAGU</t>
  </si>
  <si>
    <t>Software Acquisition Group Inc. III Unit</t>
  </si>
  <si>
    <t>SWAV</t>
  </si>
  <si>
    <t>ShockWave Medical Inc. Common Stock</t>
  </si>
  <si>
    <t>SWBI</t>
  </si>
  <si>
    <t>Smith &amp; Wesson Brands Inc. Common Stock</t>
  </si>
  <si>
    <t>SWET</t>
  </si>
  <si>
    <t>Athlon Acquisition Corp. Class A Common stock</t>
  </si>
  <si>
    <t>SWETU</t>
  </si>
  <si>
    <t>Athlon Acquisition Corp. Unit</t>
  </si>
  <si>
    <t>SWETW</t>
  </si>
  <si>
    <t>Athlon Acquisition Corp. Warrant</t>
  </si>
  <si>
    <t>SWIM</t>
  </si>
  <si>
    <t>Latham Group Inc. Common Stock</t>
  </si>
  <si>
    <t>SWIR</t>
  </si>
  <si>
    <t>Sierra Wireless Inc. Common Stock</t>
  </si>
  <si>
    <t>SWKH</t>
  </si>
  <si>
    <t>SWK Holdings Corporation Common Stock</t>
  </si>
  <si>
    <t>SWKS</t>
  </si>
  <si>
    <t>Skyworks Solutions Inc. Common Stock</t>
  </si>
  <si>
    <t>SWTX</t>
  </si>
  <si>
    <t>SpringWorks Therapeutics Inc. Common Stock</t>
  </si>
  <si>
    <t>SXTC</t>
  </si>
  <si>
    <t>China SXT Pharmaceuticals Inc. Ordinary Shares</t>
  </si>
  <si>
    <t>SY</t>
  </si>
  <si>
    <t>So-Young International Inc. American Depository Shares</t>
  </si>
  <si>
    <t>SYBT</t>
  </si>
  <si>
    <t>Stock Yards Bancorp Inc. Common Stock</t>
  </si>
  <si>
    <t>SYBX</t>
  </si>
  <si>
    <t>Synlogic Inc. Common Stock</t>
  </si>
  <si>
    <t>SYKE</t>
  </si>
  <si>
    <t>Sykes Enterprises Incorporated Common Stock</t>
  </si>
  <si>
    <t>SYNA</t>
  </si>
  <si>
    <t>Synaptics Incorporated Common Stock $0.001 Par Value</t>
  </si>
  <si>
    <t>SYNH</t>
  </si>
  <si>
    <t>Syneos Health Inc. Class A Common Stock</t>
  </si>
  <si>
    <t>SYNL</t>
  </si>
  <si>
    <t>Synalloy Corporation Common Stock</t>
  </si>
  <si>
    <t>SYPR</t>
  </si>
  <si>
    <t>Sypris Solutions Inc. Common Stock</t>
  </si>
  <si>
    <t>SYRS</t>
  </si>
  <si>
    <t>Syros Pharmaceuticals Inc. Common Stock</t>
  </si>
  <si>
    <t>SYTA</t>
  </si>
  <si>
    <t>Siyata Mobile Inc. Common Shares</t>
  </si>
  <si>
    <t>SYTAW</t>
  </si>
  <si>
    <t>Siyata Mobile Inc. Warrant</t>
  </si>
  <si>
    <t>TA</t>
  </si>
  <si>
    <t>TravelCenters of America Inc. Common Stock</t>
  </si>
  <si>
    <t>TACO</t>
  </si>
  <si>
    <t>Del Taco Restaurants Inc. Common Stock</t>
  </si>
  <si>
    <t>TACT</t>
  </si>
  <si>
    <t>TransAct Technologies Incorporated Common Stock</t>
  </si>
  <si>
    <t>TAIT</t>
  </si>
  <si>
    <t>Taitron Components Incorporated Class A Common Stock</t>
  </si>
  <si>
    <t>TALK</t>
  </si>
  <si>
    <t>Talkspace Inc. Common Stock</t>
  </si>
  <si>
    <t>TALKW</t>
  </si>
  <si>
    <t>Talkspace Inc. Warrant</t>
  </si>
  <si>
    <t>TALS</t>
  </si>
  <si>
    <t>Talaris Therapeutics Inc. Common Stock</t>
  </si>
  <si>
    <t>TANH</t>
  </si>
  <si>
    <t>Tantech Holdings Ltd. Common Stock</t>
  </si>
  <si>
    <t>TANNI</t>
  </si>
  <si>
    <t>TravelCenters of America Inc. 8.25% Senior Notes due 2028</t>
  </si>
  <si>
    <t>TANNL</t>
  </si>
  <si>
    <t>TravelCenters of America Inc. 8.00% Senior Notes due 2029</t>
  </si>
  <si>
    <t>TANNZ</t>
  </si>
  <si>
    <t>TravelCenters of America Inc. 8.00% Senior Notes due 2030</t>
  </si>
  <si>
    <t>TAOP</t>
  </si>
  <si>
    <t>Taoping Inc. Ordinary Shares</t>
  </si>
  <si>
    <t>TARA</t>
  </si>
  <si>
    <t>Protara Therapeutics Inc.  Common Stock</t>
  </si>
  <si>
    <t>TARS</t>
  </si>
  <si>
    <t>Tarsus Pharmaceuticals Inc. Common Stock</t>
  </si>
  <si>
    <t>TASK</t>
  </si>
  <si>
    <t>TaskUs Inc. Class A Common Stock</t>
  </si>
  <si>
    <t>TAST</t>
  </si>
  <si>
    <t>Carrols Restaurant Group Inc. Common Stock</t>
  </si>
  <si>
    <t>TATT</t>
  </si>
  <si>
    <t>TAT Technologies Ltd. Ordinary Shares</t>
  </si>
  <si>
    <t>TAYD</t>
  </si>
  <si>
    <t>Taylor Devices Inc. Common Stock</t>
  </si>
  <si>
    <t>TBBK</t>
  </si>
  <si>
    <t>The Bancorp Inc Common Stock</t>
  </si>
  <si>
    <t>TBCP</t>
  </si>
  <si>
    <t>Thunder Bridge Capital Partners III Inc. Class A Common Stock</t>
  </si>
  <si>
    <t>TBCPU</t>
  </si>
  <si>
    <t>Thunder Bridge Capital Partners III Inc. Units</t>
  </si>
  <si>
    <t>TBCPW</t>
  </si>
  <si>
    <t>Thunder Bridge Capital Partners III Inc. Warrant</t>
  </si>
  <si>
    <t>TBIO</t>
  </si>
  <si>
    <t>Translate Bio Inc. Common Stock</t>
  </si>
  <si>
    <t>TBK</t>
  </si>
  <si>
    <t>Triumph Bancorp Inc. Common Stock</t>
  </si>
  <si>
    <t>TBKCP</t>
  </si>
  <si>
    <t>Triumph Bancorp Inc. Depositary Shares Each Representing a 1/40th Interest in a Share of 7.125% Series C Fixed-Rate Non-Cumulative Perpetual Preferred Stock</t>
  </si>
  <si>
    <t>TBLA</t>
  </si>
  <si>
    <t>Taboola.com Ltd. Ordinary Shares</t>
  </si>
  <si>
    <t>TBLAW</t>
  </si>
  <si>
    <t>Taboola.com Ltd. Warrant</t>
  </si>
  <si>
    <t>TBLD</t>
  </si>
  <si>
    <t>Thornburg Income Builder Opportunities Trust Common Stock</t>
  </si>
  <si>
    <t>TBLT</t>
  </si>
  <si>
    <t>ToughBuilt Industries Inc. Common Stock</t>
  </si>
  <si>
    <t>TBLTW</t>
  </si>
  <si>
    <t>ToughBuilt Industries Inc. Warrant</t>
  </si>
  <si>
    <t>TBNK</t>
  </si>
  <si>
    <t>Territorial Bancorp Inc. Common Stock</t>
  </si>
  <si>
    <t>TBPH</t>
  </si>
  <si>
    <t>Theravance Biopharma Inc. Ordinary Shares</t>
  </si>
  <si>
    <t>TBSA</t>
  </si>
  <si>
    <t>TB SA Acquisition Corp Class A Ordinary Share</t>
  </si>
  <si>
    <t>TBSAW</t>
  </si>
  <si>
    <t>TB SA Acquisition Corp Warrant</t>
  </si>
  <si>
    <t>TC</t>
  </si>
  <si>
    <t>TuanChe Limited American Depositary Shares</t>
  </si>
  <si>
    <t>TCAC</t>
  </si>
  <si>
    <t>Tuatara Capital Acquisition Corporation Class A Ordinary Shares</t>
  </si>
  <si>
    <t>TCACU</t>
  </si>
  <si>
    <t>Tuatara Capital Acquisition Corporation Unit</t>
  </si>
  <si>
    <t>TCBC</t>
  </si>
  <si>
    <t>TC Bancshares Inc. Common Stock</t>
  </si>
  <si>
    <t>TCBI</t>
  </si>
  <si>
    <t>Texas Capital Bancshares Inc. Common Stock</t>
  </si>
  <si>
    <t>TCBIO</t>
  </si>
  <si>
    <t>Texas Capital Bancshares Inc. Depositary Shares 5.75% Fixed Rate Non-Cumulative Perpetual Preferred Stock Series B</t>
  </si>
  <si>
    <t>TCBK</t>
  </si>
  <si>
    <t>TriCo Bancshares Common Stock</t>
  </si>
  <si>
    <t>TCBS</t>
  </si>
  <si>
    <t>Texas Community Bancshares Inc. Common Stock</t>
  </si>
  <si>
    <t>TCDA</t>
  </si>
  <si>
    <t>Tricida Inc. Common Stock</t>
  </si>
  <si>
    <t>TCFC</t>
  </si>
  <si>
    <t>The Community Financial Corporation Common Stock</t>
  </si>
  <si>
    <t>TCMD</t>
  </si>
  <si>
    <t>Tactile Systems Technology Inc. Common Stock</t>
  </si>
  <si>
    <t>TCOM</t>
  </si>
  <si>
    <t>Trip.com Group Limited American Depositary Shares</t>
  </si>
  <si>
    <t>TCON</t>
  </si>
  <si>
    <t>TRACON Pharmaceuticals Inc. Common Stock</t>
  </si>
  <si>
    <t>TCPC</t>
  </si>
  <si>
    <t>BlackRock TCP Capital Corp. Common Stock</t>
  </si>
  <si>
    <t>TCRR</t>
  </si>
  <si>
    <t>TCR2 Therapeutics Inc. Common Stock</t>
  </si>
  <si>
    <t>TCRX</t>
  </si>
  <si>
    <t>TScan Therapeutics Inc. Common Stock</t>
  </si>
  <si>
    <t>TCVA</t>
  </si>
  <si>
    <t>TCV Acquisition Corp. Class A Ordinary Shares</t>
  </si>
  <si>
    <t>TCX</t>
  </si>
  <si>
    <t>Tucows Inc. Class A Common Stock</t>
  </si>
  <si>
    <t>TDAC</t>
  </si>
  <si>
    <t>Trident Acquisitions Corp. Common Stock</t>
  </si>
  <si>
    <t>TDACU</t>
  </si>
  <si>
    <t>Trident Acquisitions Corp. Units</t>
  </si>
  <si>
    <t>TDACW</t>
  </si>
  <si>
    <t>Trident Acquisitions Corp. Warrants</t>
  </si>
  <si>
    <t>TDUP</t>
  </si>
  <si>
    <t>ThredUp Inc. Class A Common Stock</t>
  </si>
  <si>
    <t>TEAM</t>
  </si>
  <si>
    <t>Atlassian Corporation Plc Class A Ordinary Shares</t>
  </si>
  <si>
    <t>TECH</t>
  </si>
  <si>
    <t>Bio-Techne Corp Common Stock</t>
  </si>
  <si>
    <t>TECTP</t>
  </si>
  <si>
    <t>Tectonic Financial Inc. 9.00% Fixed-to-Floating Rate Series B Non-Cumulative Perpetual Preferred Stock</t>
  </si>
  <si>
    <t>TEDU</t>
  </si>
  <si>
    <t>Tarena International Inc. American Depositary Shares</t>
  </si>
  <si>
    <t>TEKK</t>
  </si>
  <si>
    <t>Tekkorp Digital Acquisition Corp. Class A Ordinary Shares</t>
  </si>
  <si>
    <t>TEKKU</t>
  </si>
  <si>
    <t>Tekkorp Digital Acquisition Corp. Unit</t>
  </si>
  <si>
    <t>TEKKW</t>
  </si>
  <si>
    <t>Tekkorp Digital Acquisition Corp. Warrant</t>
  </si>
  <si>
    <t>TELA</t>
  </si>
  <si>
    <t>TELA Bio Inc. Common Stock</t>
  </si>
  <si>
    <t>TELL</t>
  </si>
  <si>
    <t>Tellurian Inc. Common Stock</t>
  </si>
  <si>
    <t>TENB</t>
  </si>
  <si>
    <t>Tenable Holdings Inc. Common Stock</t>
  </si>
  <si>
    <t>TENX</t>
  </si>
  <si>
    <t>Tenax Therapeutics Inc. Common Stock</t>
  </si>
  <si>
    <t>TER</t>
  </si>
  <si>
    <t>Teradyne Inc. Common Stock</t>
  </si>
  <si>
    <t>TERN</t>
  </si>
  <si>
    <t>Terns Pharmaceuticals Inc. Common Stock</t>
  </si>
  <si>
    <t>TESS</t>
  </si>
  <si>
    <t>TESSCO Technologies Incorporated Common Stock</t>
  </si>
  <si>
    <t>TETC</t>
  </si>
  <si>
    <t>Tech and Energy Transition Corporation Class A Common Stock</t>
  </si>
  <si>
    <t>TETCU</t>
  </si>
  <si>
    <t>Tech and Energy Transition Corporation Unit</t>
  </si>
  <si>
    <t>TETCW</t>
  </si>
  <si>
    <t>Tech and Energy Transition Corporation Warrant</t>
  </si>
  <si>
    <t>TFFP</t>
  </si>
  <si>
    <t>TFF Pharmaceuticals Inc. Common Stock</t>
  </si>
  <si>
    <t>TFSL</t>
  </si>
  <si>
    <t>TFS Financial Corporation Common Stock</t>
  </si>
  <si>
    <t>TGA</t>
  </si>
  <si>
    <t>TransGlobe Energy Corporation Ordinary Shares (Canada)</t>
  </si>
  <si>
    <t>TGLS</t>
  </si>
  <si>
    <t>Tecnoglass Inc. Ordinary Shares</t>
  </si>
  <si>
    <t>TGTX</t>
  </si>
  <si>
    <t>TG Therapeutics Inc. Common Stock</t>
  </si>
  <si>
    <t>TH</t>
  </si>
  <si>
    <t>Target Hospitality Corp. Common Stock</t>
  </si>
  <si>
    <t>THCA</t>
  </si>
  <si>
    <t>Tuscan Holdings Corp. II Common Stock</t>
  </si>
  <si>
    <t>THCAU</t>
  </si>
  <si>
    <t>Tuscan Holdings Corp. II Unit</t>
  </si>
  <si>
    <t>THCAW</t>
  </si>
  <si>
    <t>Tuscan Holdings Corp. II Warrant</t>
  </si>
  <si>
    <t>THCPU</t>
  </si>
  <si>
    <t>Thunder Bridge Capital Partners IV Inc. Unit</t>
  </si>
  <si>
    <t>THFF</t>
  </si>
  <si>
    <t>First Financial Corporation Indiana Common Stock</t>
  </si>
  <si>
    <t>THMA</t>
  </si>
  <si>
    <t>Thimble Point Acquisition Corp. Class A Common Stock</t>
  </si>
  <si>
    <t>THMAU</t>
  </si>
  <si>
    <t>Thimble Point Acquisition Corp. Unit</t>
  </si>
  <si>
    <t>THMAW</t>
  </si>
  <si>
    <t>Thimble Point Acquisition Corp. Warrant</t>
  </si>
  <si>
    <t>THMO</t>
  </si>
  <si>
    <t>ThermoGenesis Holdings Inc. Common Stock</t>
  </si>
  <si>
    <t>THRM</t>
  </si>
  <si>
    <t>Gentherm Inc Common Stock</t>
  </si>
  <si>
    <t>THRY</t>
  </si>
  <si>
    <t>Thryv Holdings Inc. Common Stock</t>
  </si>
  <si>
    <t>THTX</t>
  </si>
  <si>
    <t>Theratechnologies Inc. Common Shares</t>
  </si>
  <si>
    <t>THWWW</t>
  </si>
  <si>
    <t>Target Hospitality Corp. Warrant expiring 3/15/2024</t>
  </si>
  <si>
    <t>TIG</t>
  </si>
  <si>
    <t>Trean Insurance Group Inc. Common Stock</t>
  </si>
  <si>
    <t>TIGO</t>
  </si>
  <si>
    <t>Millicom International Cellular S.A. Common Stock</t>
  </si>
  <si>
    <t>TIGR</t>
  </si>
  <si>
    <t>UP Fintech Holding Ltd American Depositary Share representing fifteen Class A Ordinary Shares</t>
  </si>
  <si>
    <t>TIL</t>
  </si>
  <si>
    <t>Instil Bio Inc. Common Stock</t>
  </si>
  <si>
    <t>TILE</t>
  </si>
  <si>
    <t>Interface Inc. Common Stock</t>
  </si>
  <si>
    <t>TIOA</t>
  </si>
  <si>
    <t>Tio Tech A Class A Ordinary Share</t>
  </si>
  <si>
    <t>TIOAU</t>
  </si>
  <si>
    <t>Tio Tech A Units</t>
  </si>
  <si>
    <t>TIPT</t>
  </si>
  <si>
    <t>Tiptree Inc. Common Stock</t>
  </si>
  <si>
    <t>TIRX</t>
  </si>
  <si>
    <t>TIAN RUIXIANG Holdings Ltd Class A Ordinary Shares</t>
  </si>
  <si>
    <t>TITN</t>
  </si>
  <si>
    <t>Titan Machinery Inc. Common Stock</t>
  </si>
  <si>
    <t>TKNO</t>
  </si>
  <si>
    <t>Alpha Teknova Inc. Common Stock</t>
  </si>
  <si>
    <t>TLC</t>
  </si>
  <si>
    <t>Taiwan Liposome Company Ltd. American Depository Shares</t>
  </si>
  <si>
    <t>TLGT</t>
  </si>
  <si>
    <t>Teligent Inc. Common Stock</t>
  </si>
  <si>
    <t>TLIS</t>
  </si>
  <si>
    <t>Talis Biomedical Corporation Common Stock</t>
  </si>
  <si>
    <t>TLMD</t>
  </si>
  <si>
    <t>SOC Telemed Inc. Class A Common Stock</t>
  </si>
  <si>
    <t>TLMDW</t>
  </si>
  <si>
    <t>SOC Telemed Inc. Warrants</t>
  </si>
  <si>
    <t>TLRY</t>
  </si>
  <si>
    <t>Tilray Inc. Class 2 Common Stock</t>
  </si>
  <si>
    <t>TLS</t>
  </si>
  <si>
    <t>Telos Corporation Common Stock</t>
  </si>
  <si>
    <t>TLSA</t>
  </si>
  <si>
    <t>Tiziana Life Sciences plc American Depository Share</t>
  </si>
  <si>
    <t>TMCI</t>
  </si>
  <si>
    <t>Treace Medical Concepts Inc. Common Stock</t>
  </si>
  <si>
    <t>TMDI</t>
  </si>
  <si>
    <t>Titan Medical Inc. Ordinary Shares</t>
  </si>
  <si>
    <t>TMDX</t>
  </si>
  <si>
    <t>TransMedics Group Inc. Common Stock</t>
  </si>
  <si>
    <t>TMKR</t>
  </si>
  <si>
    <t>Tastemaker Acquisition Corp. Class A Common Stock</t>
  </si>
  <si>
    <t>TMKRU</t>
  </si>
  <si>
    <t>Tastemaker Acquisition Corp. Unit</t>
  </si>
  <si>
    <t>TMKRW</t>
  </si>
  <si>
    <t>Tastemaker Acquisition Corp. Warrant to purchase Class A common stock</t>
  </si>
  <si>
    <t>TMPM</t>
  </si>
  <si>
    <t>Turmeric Acquisition Corp. Class A Ordinary Shares</t>
  </si>
  <si>
    <t>TMPMU</t>
  </si>
  <si>
    <t>Turmeric Acquisition Corp. Unit</t>
  </si>
  <si>
    <t>TMPMW</t>
  </si>
  <si>
    <t>Turmeric Acquisition Corp. Warrant</t>
  </si>
  <si>
    <t>TMTS</t>
  </si>
  <si>
    <t>Spartacus Acquisition Corporation Class A Common Stock</t>
  </si>
  <si>
    <t>TMTSU</t>
  </si>
  <si>
    <t>Spartacus Acquisition Corporation Unit</t>
  </si>
  <si>
    <t>TMTSW</t>
  </si>
  <si>
    <t>Spartacus Acquisition Corporation Warrant</t>
  </si>
  <si>
    <t>TMUS</t>
  </si>
  <si>
    <t>T-Mobile US Inc. Common Stock</t>
  </si>
  <si>
    <t>TNDM</t>
  </si>
  <si>
    <t>Tandem Diabetes Care Inc. Common Stock</t>
  </si>
  <si>
    <t>TNXP</t>
  </si>
  <si>
    <t>Tonix Pharmaceuticals Holding Corp. Common Stock</t>
  </si>
  <si>
    <t>TNYA</t>
  </si>
  <si>
    <t>Tenaya Therapeutics Inc. Common Stock</t>
  </si>
  <si>
    <t>TOMZ</t>
  </si>
  <si>
    <t>TOMI Environmental Solutions Inc. Common Stock</t>
  </si>
  <si>
    <t>TOPS</t>
  </si>
  <si>
    <t>TOP Ships Inc. Common Stock</t>
  </si>
  <si>
    <t>TOUR</t>
  </si>
  <si>
    <t>Tuniu Corporation American Depositary Shares</t>
  </si>
  <si>
    <t>TOWN</t>
  </si>
  <si>
    <t>TowneBank Common Stock</t>
  </si>
  <si>
    <t>TPIC</t>
  </si>
  <si>
    <t>TPI Composites Inc. Common Stock</t>
  </si>
  <si>
    <t>TPST</t>
  </si>
  <si>
    <t>Tempest Therapeutics Inc. Common Stock</t>
  </si>
  <si>
    <t>TPTX</t>
  </si>
  <si>
    <t>Turning Point Therapeutics Inc. Common Stock</t>
  </si>
  <si>
    <t>TREE</t>
  </si>
  <si>
    <t>LendingTree Inc. Common Stock</t>
  </si>
  <si>
    <t>TRHC</t>
  </si>
  <si>
    <t>Tabula Rasa HealthCare Inc. Common Stock</t>
  </si>
  <si>
    <t>TRIB</t>
  </si>
  <si>
    <t>Trinity Biotech plc American Depositary Shares</t>
  </si>
  <si>
    <t>TRIL</t>
  </si>
  <si>
    <t>Trillium Therapeutics Inc. Common Shares</t>
  </si>
  <si>
    <t>TRIN</t>
  </si>
  <si>
    <t>Trinity Capital Inc. Common Stock</t>
  </si>
  <si>
    <t>TRIP</t>
  </si>
  <si>
    <t>TripAdvisor Inc. Common Stock</t>
  </si>
  <si>
    <t>TRIT</t>
  </si>
  <si>
    <t>Triterras Inc. Class A Ordinary Shares</t>
  </si>
  <si>
    <t>TRITW</t>
  </si>
  <si>
    <t>Triterras Inc. Warrant</t>
  </si>
  <si>
    <t>TRKA</t>
  </si>
  <si>
    <t>Troika Media Group Inc. Common Stock</t>
  </si>
  <si>
    <t>TRKAW</t>
  </si>
  <si>
    <t>Troika Media Group Inc. Warrant</t>
  </si>
  <si>
    <t>TRMB</t>
  </si>
  <si>
    <t>Trimble Inc. Common Stock</t>
  </si>
  <si>
    <t>TRMD</t>
  </si>
  <si>
    <t>TORM plc Class A Common Stock</t>
  </si>
  <si>
    <t>TRMK</t>
  </si>
  <si>
    <t>Trustmark Corporation Common Stock</t>
  </si>
  <si>
    <t>TRMR</t>
  </si>
  <si>
    <t>Tremor International Ltd. American Depository Shares</t>
  </si>
  <si>
    <t>TRMT</t>
  </si>
  <si>
    <t>Tremont Mortgage Trust Common Shares of Beneficial Interest</t>
  </si>
  <si>
    <t>TRNS</t>
  </si>
  <si>
    <t>Transcat Inc. Common Stock</t>
  </si>
  <si>
    <t>TRONU</t>
  </si>
  <si>
    <t>Corner Growth Acquisition Corp. 2 Units</t>
  </si>
  <si>
    <t>TROW</t>
  </si>
  <si>
    <t>T. Rowe Price Group Inc. Common Stock</t>
  </si>
  <si>
    <t>TRS</t>
  </si>
  <si>
    <t>TriMas Corporation Common Stock</t>
  </si>
  <si>
    <t>TRST</t>
  </si>
  <si>
    <t>TrustCo Bank Corp NY Common Stock</t>
  </si>
  <si>
    <t>TrueCar Inc. Common Stock</t>
  </si>
  <si>
    <t>TRUP</t>
  </si>
  <si>
    <t>Trupanion Inc. Common Stock</t>
  </si>
  <si>
    <t>TRVG</t>
  </si>
  <si>
    <t>trivago N.V. American Depositary Shares</t>
  </si>
  <si>
    <t>TRVI</t>
  </si>
  <si>
    <t>Trevi Therapeutics Inc. Common Stock</t>
  </si>
  <si>
    <t>TRVN</t>
  </si>
  <si>
    <t>Trevena Inc. Common Stock</t>
  </si>
  <si>
    <t>TSBK</t>
  </si>
  <si>
    <t>Timberland Bancorp Inc. Common Stock</t>
  </si>
  <si>
    <t>TSC</t>
  </si>
  <si>
    <t>TriState Capital Holdings Inc. Common Stock</t>
  </si>
  <si>
    <t>TSCAP</t>
  </si>
  <si>
    <t>TriState Capital Holdings Inc. Dep Shs Rep 1/40th Int 6.75% Srs A Non-Cum Pfd Stock</t>
  </si>
  <si>
    <t>TSCBP</t>
  </si>
  <si>
    <t>TriState Capital Holdings Inc. Depositary Share representing a 1/40th Interest in a Share of 6.375% Fixed-to-Floating Rate Series B Non-Cumulative Perpetual Preferred Stock</t>
  </si>
  <si>
    <t>TSCO</t>
  </si>
  <si>
    <t>Tractor Supply Company Common Stock</t>
  </si>
  <si>
    <t>TSEM</t>
  </si>
  <si>
    <t>Tower Semiconductor Ltd. Ordinary Shares</t>
  </si>
  <si>
    <t>TSHA</t>
  </si>
  <si>
    <t>Taysha Gene Therapies Inc. Common Stock</t>
  </si>
  <si>
    <t>TSIB</t>
  </si>
  <si>
    <t>Tishman Speyer Innovation Corp. II Class A common stock</t>
  </si>
  <si>
    <t>TSIBU</t>
  </si>
  <si>
    <t>Tishman Speyer Innovation Corp. II Unit</t>
  </si>
  <si>
    <t>TSIBW</t>
  </si>
  <si>
    <t>Tishman Speyer Innovation Corp. II Warrant</t>
  </si>
  <si>
    <t>TSLA</t>
  </si>
  <si>
    <t>Tesla Inc. Common Stock</t>
  </si>
  <si>
    <t>TSP</t>
  </si>
  <si>
    <t>TuSimple Holdings Inc. Class A Common Stock</t>
  </si>
  <si>
    <t>TSRI</t>
  </si>
  <si>
    <t>TSR Inc. Common Stock</t>
  </si>
  <si>
    <t>TTCF</t>
  </si>
  <si>
    <t>Tattooed Chef Inc Class A Common Stock</t>
  </si>
  <si>
    <t>TTD</t>
  </si>
  <si>
    <t>The Trade Desk Inc. Class A Common Stock</t>
  </si>
  <si>
    <t>TTEC</t>
  </si>
  <si>
    <t>TTEC Holdings Inc. Common Stock</t>
  </si>
  <si>
    <t>TTEK</t>
  </si>
  <si>
    <t>Tetra Tech Inc. Common Stock</t>
  </si>
  <si>
    <t>TTGT</t>
  </si>
  <si>
    <t>TechTarget Inc. Common Stock</t>
  </si>
  <si>
    <t>TTMI</t>
  </si>
  <si>
    <t>TTM Technologies Inc. Common Stock</t>
  </si>
  <si>
    <t>TTNP</t>
  </si>
  <si>
    <t>Titan Pharmaceuticals Inc. Common Stock</t>
  </si>
  <si>
    <t>TTOO</t>
  </si>
  <si>
    <t>T2 Biosystems Inc. Common Stock</t>
  </si>
  <si>
    <t>TTSH</t>
  </si>
  <si>
    <t>Tile Shop Holdings Inc. Common Stock</t>
  </si>
  <si>
    <t>TTWO</t>
  </si>
  <si>
    <t>Take-Two Interactive Software Inc. Common Stock</t>
  </si>
  <si>
    <t>TUEM</t>
  </si>
  <si>
    <t>Tuesday Morning Corp. Common Stock</t>
  </si>
  <si>
    <t>TUGC</t>
  </si>
  <si>
    <t>TradeUP Global Corporation Class A Ordinary Shares</t>
  </si>
  <si>
    <t>TUGCU</t>
  </si>
  <si>
    <t>TradeUP Global Corporation Unit</t>
  </si>
  <si>
    <t>TUGCW</t>
  </si>
  <si>
    <t>TradeUP Global Corporation Warrant</t>
  </si>
  <si>
    <t>TURN</t>
  </si>
  <si>
    <t>180 Degree Capital Corp. Common Stock</t>
  </si>
  <si>
    <t>TUSK</t>
  </si>
  <si>
    <t>Mammoth Energy Services Inc. Common Stock</t>
  </si>
  <si>
    <t>TVAC</t>
  </si>
  <si>
    <t>Thayer Ventures Acquisition Corporation Class A Common Stock</t>
  </si>
  <si>
    <t>TVACU</t>
  </si>
  <si>
    <t>Thayer Ventures Acquisition Corporation Units</t>
  </si>
  <si>
    <t>TVACW</t>
  </si>
  <si>
    <t>Thayer Ventures Acquisition Corporation Warrant</t>
  </si>
  <si>
    <t>TVTX</t>
  </si>
  <si>
    <t>Travere Therapeutics Inc. Common Stock</t>
  </si>
  <si>
    <t>TVTY</t>
  </si>
  <si>
    <t>Tivity Health Inc. Common Stock</t>
  </si>
  <si>
    <t>TW</t>
  </si>
  <si>
    <t>Tradeweb Markets Inc. Class A Common Stock</t>
  </si>
  <si>
    <t>TWCBU</t>
  </si>
  <si>
    <t>Bilander Acquisition Corp. Unit</t>
  </si>
  <si>
    <t>TWCT</t>
  </si>
  <si>
    <t>TWC Tech Holdings II Corp. Class A Common Stock</t>
  </si>
  <si>
    <t>TWCTU</t>
  </si>
  <si>
    <t>TWC Tech Holdings II Corp. Unit</t>
  </si>
  <si>
    <t>TWCTW</t>
  </si>
  <si>
    <t>TWC Tech Holdings II Corp. Warrant</t>
  </si>
  <si>
    <t>TWIN</t>
  </si>
  <si>
    <t>Twin Disc Incorporated Common Stock</t>
  </si>
  <si>
    <t>TWLV</t>
  </si>
  <si>
    <t>Twelve Seas Investment Company II Class A Common Stock</t>
  </si>
  <si>
    <t>TWLVU</t>
  </si>
  <si>
    <t>Twelve Seas Investment Company II Unit</t>
  </si>
  <si>
    <t>TWLVW</t>
  </si>
  <si>
    <t>Twelve Seas Investment Company II Warrant</t>
  </si>
  <si>
    <t>TWNK</t>
  </si>
  <si>
    <t>Hostess Brands Inc. Class A Common Stock</t>
  </si>
  <si>
    <t>TWNKW</t>
  </si>
  <si>
    <t>Hostess Brands Inc. Warrants</t>
  </si>
  <si>
    <t>TWOU</t>
  </si>
  <si>
    <t>2U Inc. Common Stock</t>
  </si>
  <si>
    <t>TWST</t>
  </si>
  <si>
    <t>Twist Bioscience Corporation Common Stock</t>
  </si>
  <si>
    <t>TXG</t>
  </si>
  <si>
    <t>10x Genomics Inc. Class A Common Stock</t>
  </si>
  <si>
    <t>TXMD</t>
  </si>
  <si>
    <t>TherapeuticsMD Inc. Common Stock</t>
  </si>
  <si>
    <t>TXN</t>
  </si>
  <si>
    <t>Texas Instruments Incorporated Common Stock</t>
  </si>
  <si>
    <t>TXRH</t>
  </si>
  <si>
    <t>Texas Roadhouse Inc. Common Stock</t>
  </si>
  <si>
    <t>TYHT</t>
  </si>
  <si>
    <t>Shineco Inc. Common Stock</t>
  </si>
  <si>
    <t>TYME</t>
  </si>
  <si>
    <t>Tyme Technologies Inc. Common Stock</t>
  </si>
  <si>
    <t>TZOO</t>
  </si>
  <si>
    <t>Travelzoo Common Stock</t>
  </si>
  <si>
    <t>TZPS</t>
  </si>
  <si>
    <t>TZP Strategies Acquisition Corp. Class A Ordinary Share</t>
  </si>
  <si>
    <t>TZPSU</t>
  </si>
  <si>
    <t>TZP Strategies Acquisition Corp. Unit</t>
  </si>
  <si>
    <t>TZPSW</t>
  </si>
  <si>
    <t>TZP Strategies Acquisition Corp. Warrant</t>
  </si>
  <si>
    <t>UAL</t>
  </si>
  <si>
    <t>United Airlines Holdings Inc. Common Stock</t>
  </si>
  <si>
    <t>UBCP</t>
  </si>
  <si>
    <t>United Bancorp Inc. Common Stock</t>
  </si>
  <si>
    <t>UBFO</t>
  </si>
  <si>
    <t>United Security Bancshares Common Stock</t>
  </si>
  <si>
    <t>UBOH</t>
  </si>
  <si>
    <t>United Bancshares Inc. Common Stock</t>
  </si>
  <si>
    <t>UBSI</t>
  </si>
  <si>
    <t>United Bankshares Inc. Common Stock</t>
  </si>
  <si>
    <t>UBX</t>
  </si>
  <si>
    <t>Unity Biotechnology Inc. Common Stock</t>
  </si>
  <si>
    <t>UCBI</t>
  </si>
  <si>
    <t>United Community Banks Inc. Common Stock</t>
  </si>
  <si>
    <t>UCBIO</t>
  </si>
  <si>
    <t>United Community Banks Inc. Depositary Shares each representing 1/1000th interest in a share of Series I Non-CumulativePreferred Stock</t>
  </si>
  <si>
    <t>UCL</t>
  </si>
  <si>
    <t>uCloudlink Group Inc. American Depositary Shares</t>
  </si>
  <si>
    <t>UCTT</t>
  </si>
  <si>
    <t>Ultra Clean Holdings Inc. Common Stock</t>
  </si>
  <si>
    <t>UEIC</t>
  </si>
  <si>
    <t>Universal Electronics Inc. Common Stock</t>
  </si>
  <si>
    <t>UEPS</t>
  </si>
  <si>
    <t>Net 1 UEPS Technologies Inc. Common Stock</t>
  </si>
  <si>
    <t>UFCS</t>
  </si>
  <si>
    <t>United Fire Group Inc. Common Stock</t>
  </si>
  <si>
    <t>UFPI</t>
  </si>
  <si>
    <t>UFP Industries Inc. Common Stock</t>
  </si>
  <si>
    <t>UFPT</t>
  </si>
  <si>
    <t>UFP Technologies Inc. Common Stock</t>
  </si>
  <si>
    <t>UG</t>
  </si>
  <si>
    <t>United-Guardian Inc. Common Stock</t>
  </si>
  <si>
    <t>UGRO</t>
  </si>
  <si>
    <t>urban-gro Inc. Common Stock</t>
  </si>
  <si>
    <t>UHAL</t>
  </si>
  <si>
    <t>Amerco Common Stock</t>
  </si>
  <si>
    <t>UIHC</t>
  </si>
  <si>
    <t>United Insurance Holdings Corp. Common Stock</t>
  </si>
  <si>
    <t>UK</t>
  </si>
  <si>
    <t>Ucommune International Ltd Ordinary Shares</t>
  </si>
  <si>
    <t>UKOMW</t>
  </si>
  <si>
    <t>Ucommune International Ltd Warrant expiring 11/17/2025</t>
  </si>
  <si>
    <t>ULBI</t>
  </si>
  <si>
    <t>Ultralife Corporation Common Stock</t>
  </si>
  <si>
    <t>ULCC</t>
  </si>
  <si>
    <t>Frontier Group Holdings Inc. Common Stock</t>
  </si>
  <si>
    <t>ULH</t>
  </si>
  <si>
    <t>Universal Logistics Holdings Inc. Common Stock</t>
  </si>
  <si>
    <t>ULTA</t>
  </si>
  <si>
    <t>Ulta Beauty Inc. Common Stock</t>
  </si>
  <si>
    <t>UMBF</t>
  </si>
  <si>
    <t>UMB Financial Corporation Common Stock</t>
  </si>
  <si>
    <t>UMPQ</t>
  </si>
  <si>
    <t>Umpqua Holdings Corporation Common Stock</t>
  </si>
  <si>
    <t>UNAM</t>
  </si>
  <si>
    <t>Unico American Corporation Common Stock</t>
  </si>
  <si>
    <t>UNB</t>
  </si>
  <si>
    <t>Union Bankshares Inc. Common Stock</t>
  </si>
  <si>
    <t>UNCY</t>
  </si>
  <si>
    <t>Unicycive Therapeutics Inc. Common Stock</t>
  </si>
  <si>
    <t>UNIT</t>
  </si>
  <si>
    <t>Uniti Group Inc. Common Stock</t>
  </si>
  <si>
    <t>UNTY</t>
  </si>
  <si>
    <t>Unity Bancorp Inc. Common Stock</t>
  </si>
  <si>
    <t>UONE</t>
  </si>
  <si>
    <t>Urban One Inc. Class A Common Stock</t>
  </si>
  <si>
    <t>UONEK</t>
  </si>
  <si>
    <t>Urban One Inc. Class D Common Stock</t>
  </si>
  <si>
    <t>UPC</t>
  </si>
  <si>
    <t>Universe Pharmaceuticals Inc. Ordinary Shares</t>
  </si>
  <si>
    <t>UPLD</t>
  </si>
  <si>
    <t>Upland Software Inc. Common Stock</t>
  </si>
  <si>
    <t>UPST</t>
  </si>
  <si>
    <t>Upstart Holdings Inc. Common stock</t>
  </si>
  <si>
    <t>UPTDU</t>
  </si>
  <si>
    <t>TradeUP Acquisition Corp. Unit</t>
  </si>
  <si>
    <t>UPWK</t>
  </si>
  <si>
    <t>Upwork Inc. Common Stock</t>
  </si>
  <si>
    <t>URBN</t>
  </si>
  <si>
    <t>Urban Outfitters Inc. Common Stock</t>
  </si>
  <si>
    <t>URGN</t>
  </si>
  <si>
    <t>UroGen Pharma Ltd. Ordinary Shares</t>
  </si>
  <si>
    <t>UROY</t>
  </si>
  <si>
    <t>Uranium Royalty Corp. Common Stock</t>
  </si>
  <si>
    <t>USAK</t>
  </si>
  <si>
    <t>USA Truck Inc. Common Stock</t>
  </si>
  <si>
    <t>USAP</t>
  </si>
  <si>
    <t>Universal Stainless &amp; Alloy Products Inc. Common Stock</t>
  </si>
  <si>
    <t>USAU</t>
  </si>
  <si>
    <t>U.S. Gold Corp. Common Stock</t>
  </si>
  <si>
    <t>USCB</t>
  </si>
  <si>
    <t>U.S. Century Bank Class A Common Stock</t>
  </si>
  <si>
    <t>USCR</t>
  </si>
  <si>
    <t>U.S. Concrete Inc. Common Stock</t>
  </si>
  <si>
    <t>USEG</t>
  </si>
  <si>
    <t>U.S. Energy Corp. Common Stock</t>
  </si>
  <si>
    <t>USIO</t>
  </si>
  <si>
    <t>Usio Inc. Common Stock</t>
  </si>
  <si>
    <t>USLM</t>
  </si>
  <si>
    <t>United States Lime &amp; Minerals Inc. Common Stock</t>
  </si>
  <si>
    <t>USWS</t>
  </si>
  <si>
    <t>U.S. Well Services Inc. Class A Common Stock</t>
  </si>
  <si>
    <t>USWSW</t>
  </si>
  <si>
    <t>U.S. Well Services Inc. Warrants</t>
  </si>
  <si>
    <t>UTHR</t>
  </si>
  <si>
    <t>United Therapeutics Corporation Common Stock</t>
  </si>
  <si>
    <t>UTMD</t>
  </si>
  <si>
    <t>Utah Medical Products Inc. Common Stock</t>
  </si>
  <si>
    <t>UTME</t>
  </si>
  <si>
    <t>UTime Limited Ordinary Shares</t>
  </si>
  <si>
    <t>UTSI</t>
  </si>
  <si>
    <t>UTStarcom Holdings Corp.</t>
  </si>
  <si>
    <t>UVSP</t>
  </si>
  <si>
    <t>Univest Financial Corporation Common Stock</t>
  </si>
  <si>
    <t>UXIN</t>
  </si>
  <si>
    <t>Uxin Limited ADS</t>
  </si>
  <si>
    <t>VABK</t>
  </si>
  <si>
    <t>Virginia National Bankshares Corporation Common Stock</t>
  </si>
  <si>
    <t>VACC</t>
  </si>
  <si>
    <t>Vaccitech plc American Depositary Shares</t>
  </si>
  <si>
    <t>VACQ</t>
  </si>
  <si>
    <t>Vector Acquisition Corporation Class A Common Stock</t>
  </si>
  <si>
    <t>VACQU</t>
  </si>
  <si>
    <t>Vector Acquisition Corporation Unit</t>
  </si>
  <si>
    <t>VACQW</t>
  </si>
  <si>
    <t>Vector Acquisition Corporation Warrant</t>
  </si>
  <si>
    <t>VALN</t>
  </si>
  <si>
    <t>Valneva SE American Depositary Shares</t>
  </si>
  <si>
    <t>VALU</t>
  </si>
  <si>
    <t>Value Line Inc. Common Stock</t>
  </si>
  <si>
    <t>VAQC</t>
  </si>
  <si>
    <t>Vector Acquisition Corporation II Class A Ordinary Shares</t>
  </si>
  <si>
    <t>VBFC</t>
  </si>
  <si>
    <t>Village Bank and Trust Financial Corp. Common Stock</t>
  </si>
  <si>
    <t>VBIV</t>
  </si>
  <si>
    <t>VBI Vaccines Inc. New Common Stock (Canada)</t>
  </si>
  <si>
    <t>VBLT</t>
  </si>
  <si>
    <t>Vascular Biogenics Ltd. Ordinary Shares</t>
  </si>
  <si>
    <t>VBTX</t>
  </si>
  <si>
    <t>Veritex Holdings Inc. Common Stock</t>
  </si>
  <si>
    <t>VC</t>
  </si>
  <si>
    <t>Visteon Corporation Common Stock</t>
  </si>
  <si>
    <t>VCEL</t>
  </si>
  <si>
    <t>Vericel Corporation Common Stock</t>
  </si>
  <si>
    <t>VCKA</t>
  </si>
  <si>
    <t>Vickers Vantage Corp. I Ordinary Shares</t>
  </si>
  <si>
    <t>VCKAU</t>
  </si>
  <si>
    <t>Vickers Vantage Corp. I Unit</t>
  </si>
  <si>
    <t>VCKAW</t>
  </si>
  <si>
    <t>Vickers Vantage Corp. I Warrant</t>
  </si>
  <si>
    <t>VCNX</t>
  </si>
  <si>
    <t>Vaccinex Inc. Common Stock</t>
  </si>
  <si>
    <t>VCTR</t>
  </si>
  <si>
    <t>Victory Capital Holdings Inc. Class A Common Stock</t>
  </si>
  <si>
    <t>VCYT</t>
  </si>
  <si>
    <t>Veracyte Inc. Common Stock</t>
  </si>
  <si>
    <t>VECO</t>
  </si>
  <si>
    <t>Veeco Instruments Inc. Common Stock</t>
  </si>
  <si>
    <t>VECT</t>
  </si>
  <si>
    <t>VectivBio Holding AG Ordinary Shares</t>
  </si>
  <si>
    <t>VEEE</t>
  </si>
  <si>
    <t>Twin Vee PowerCats Co. Common Stock</t>
  </si>
  <si>
    <t>VELO</t>
  </si>
  <si>
    <t>Velocity Acquisition Corp. Class A Common Stock</t>
  </si>
  <si>
    <t>VELOU</t>
  </si>
  <si>
    <t>Velocity Acquisition Corp. Units</t>
  </si>
  <si>
    <t>VELOW</t>
  </si>
  <si>
    <t>Velocity Acquisition Corp. Warrant</t>
  </si>
  <si>
    <t>VENA</t>
  </si>
  <si>
    <t>Venus Acquisition Corporation Ordinary Shares</t>
  </si>
  <si>
    <t>VENAR</t>
  </si>
  <si>
    <t>Venus Acquisition Corporation Rights</t>
  </si>
  <si>
    <t>VENAW</t>
  </si>
  <si>
    <t>Venus Acquisition Corporation Warrant</t>
  </si>
  <si>
    <t>VEON</t>
  </si>
  <si>
    <t>VEON Ltd. ADS</t>
  </si>
  <si>
    <t>VERA</t>
  </si>
  <si>
    <t>Vera Therapeutics Inc. Class A Common Stock</t>
  </si>
  <si>
    <t>VERB</t>
  </si>
  <si>
    <t>Verb Technology Company Inc. Common Stock</t>
  </si>
  <si>
    <t>VERBW</t>
  </si>
  <si>
    <t>Verb Technology Company Inc. Warrant</t>
  </si>
  <si>
    <t>VERI</t>
  </si>
  <si>
    <t>Veritone Inc. Common Stock</t>
  </si>
  <si>
    <t>VERO</t>
  </si>
  <si>
    <t>Venus Concept Inc. Common Stock</t>
  </si>
  <si>
    <t>VERU</t>
  </si>
  <si>
    <t>Veru Inc. Common Stock</t>
  </si>
  <si>
    <t>VERV</t>
  </si>
  <si>
    <t>Verve Therapeutics Inc. Common Stock</t>
  </si>
  <si>
    <t>VERX</t>
  </si>
  <si>
    <t>Vertex Inc. Class A Common Stock</t>
  </si>
  <si>
    <t>VERY</t>
  </si>
  <si>
    <t>Vericity Inc. Common Stock</t>
  </si>
  <si>
    <t>VEV</t>
  </si>
  <si>
    <t>Vicinity Motor Corp. Common Stock</t>
  </si>
  <si>
    <t>VFF</t>
  </si>
  <si>
    <t>Village Farms International Inc. Common Shares</t>
  </si>
  <si>
    <t>VG</t>
  </si>
  <si>
    <t>Vonage Holdings Corp. Common Stock</t>
  </si>
  <si>
    <t>VIAC</t>
  </si>
  <si>
    <t>ViacomCBS Inc. Class B Common Stock</t>
  </si>
  <si>
    <t>VIACA</t>
  </si>
  <si>
    <t>ViacomCBS Inc. Class A Common Stock</t>
  </si>
  <si>
    <t>VIACP</t>
  </si>
  <si>
    <t>ViacomCBS Inc. 5.75% Series A Mandatory Convertible Preferred Stock</t>
  </si>
  <si>
    <t>VIAV</t>
  </si>
  <si>
    <t>Viavi Solutions Inc. Common Stock</t>
  </si>
  <si>
    <t>VICR</t>
  </si>
  <si>
    <t>Vicor Corporation Common Stock</t>
  </si>
  <si>
    <t>VIEW</t>
  </si>
  <si>
    <t>View Inc. Class A Common Stock</t>
  </si>
  <si>
    <t>VIEWW</t>
  </si>
  <si>
    <t>View Inc. Warrant</t>
  </si>
  <si>
    <t>VIH</t>
  </si>
  <si>
    <t>VPC Impact Acquisition Holdings Class A Ordinary Shares</t>
  </si>
  <si>
    <t>VIHAW</t>
  </si>
  <si>
    <t>VPC Impact Acquisition Holdings Warrant</t>
  </si>
  <si>
    <t>VII</t>
  </si>
  <si>
    <t>7GC &amp; Co. Holdings Inc. Class A common stock</t>
  </si>
  <si>
    <t>VIIAU</t>
  </si>
  <si>
    <t>7GC &amp; Co. Holdings Inc. Unit</t>
  </si>
  <si>
    <t>VIIAW</t>
  </si>
  <si>
    <t>7GC &amp; Co. Holdings Inc. Warrant</t>
  </si>
  <si>
    <t>VINC</t>
  </si>
  <si>
    <t>Vincerx Pharma Inc. Common Stock</t>
  </si>
  <si>
    <t>VINO</t>
  </si>
  <si>
    <t>Gaucho Group Holdings Inc. Common Stock</t>
  </si>
  <si>
    <t>VINP</t>
  </si>
  <si>
    <t>Vinci Partners Investments Ltd. Class A Common Shares</t>
  </si>
  <si>
    <t>VIOT</t>
  </si>
  <si>
    <t>Viomi Technology Co. Ltd American Depositary Shares</t>
  </si>
  <si>
    <t>VIR</t>
  </si>
  <si>
    <t>Vir Biotechnology Inc. Common Stock</t>
  </si>
  <si>
    <t>VIRC</t>
  </si>
  <si>
    <t>Virco Manufacturing Corporation Common Stock</t>
  </si>
  <si>
    <t>VIRI</t>
  </si>
  <si>
    <t>Virios Therapeutics Inc. Common Stock</t>
  </si>
  <si>
    <t>VIRT</t>
  </si>
  <si>
    <t>Virtu Financial Inc. Class A Common Stock</t>
  </si>
  <si>
    <t>VIRX</t>
  </si>
  <si>
    <t>Viracta Therapeutics Inc. Common Stock</t>
  </si>
  <si>
    <t>VISL</t>
  </si>
  <si>
    <t>Vislink Technologies Inc. Common Stock</t>
  </si>
  <si>
    <t>VITL</t>
  </si>
  <si>
    <t>Vital Farms Inc. Common Stock</t>
  </si>
  <si>
    <t>VIVE</t>
  </si>
  <si>
    <t>Viveve Medical Inc. Common Stock</t>
  </si>
  <si>
    <t>VIVO</t>
  </si>
  <si>
    <t>Meridian Bioscience Inc. Common Stock</t>
  </si>
  <si>
    <t>VJET</t>
  </si>
  <si>
    <t>voxeljet AG American Depositary Shares</t>
  </si>
  <si>
    <t>VKTX</t>
  </si>
  <si>
    <t>Viking Therapeutics Inc. Common Stock</t>
  </si>
  <si>
    <t>VLATU</t>
  </si>
  <si>
    <t>Valor Latitude Acquisition Corp. Unit</t>
  </si>
  <si>
    <t>VLDR</t>
  </si>
  <si>
    <t>Velodyne Lidar Inc. Common Stock</t>
  </si>
  <si>
    <t>VLDRW</t>
  </si>
  <si>
    <t>Velodyne Lidar Inc. Warrants</t>
  </si>
  <si>
    <t>VLGEA</t>
  </si>
  <si>
    <t>Village Super Market Inc. Class A Common Stock</t>
  </si>
  <si>
    <t>VLON</t>
  </si>
  <si>
    <t>Vallon Pharmaceuticals Inc. Common Stock</t>
  </si>
  <si>
    <t>VLY</t>
  </si>
  <si>
    <t>Valley National Bancorp Common Stock</t>
  </si>
  <si>
    <t>VLYPO</t>
  </si>
  <si>
    <t>Valley National Bancorp 5.50% Fixed-to-Floating Rate Non-Cumulative Perpetual Preferred Stock Series B</t>
  </si>
  <si>
    <t>VLYPP</t>
  </si>
  <si>
    <t>Valley National Bancorp 6.25% Fixed-to-Floating Rate Non-Cumulative Perpetual Preferred Stock Series A</t>
  </si>
  <si>
    <t>VMAC</t>
  </si>
  <si>
    <t>Vistas Media Acquisition Company Inc. Class A Common Stock</t>
  </si>
  <si>
    <t>VMACW</t>
  </si>
  <si>
    <t>Vistas Media Acquisition Company Inc. Warrant</t>
  </si>
  <si>
    <t>VMAR</t>
  </si>
  <si>
    <t>Vision Marine Technologies Inc. Common Shares</t>
  </si>
  <si>
    <t>VMD</t>
  </si>
  <si>
    <t>Viemed Healthcare Inc. Common Shares</t>
  </si>
  <si>
    <t>VMEO</t>
  </si>
  <si>
    <t>Vimeo Inc. Common Stock</t>
  </si>
  <si>
    <t>VNDA</t>
  </si>
  <si>
    <t>Vanda Pharmaceuticals Inc. Common Stock</t>
  </si>
  <si>
    <t>VNET</t>
  </si>
  <si>
    <t>21Vianet Group Inc. American Depositary Shares</t>
  </si>
  <si>
    <t>VNOM</t>
  </si>
  <si>
    <t>Viper Energy Partners LP Common Unit</t>
  </si>
  <si>
    <t>VOD</t>
  </si>
  <si>
    <t>Vodafone Group Plc American Depositary Shares</t>
  </si>
  <si>
    <t>VOR</t>
  </si>
  <si>
    <t>Vor Biopharma Inc. Common Stock</t>
  </si>
  <si>
    <t>VOSO</t>
  </si>
  <si>
    <t>Virtuoso Acquisition Corp. Class A Common Stock</t>
  </si>
  <si>
    <t>VOSOU</t>
  </si>
  <si>
    <t>Virtuoso Acquisition Corp. Unit</t>
  </si>
  <si>
    <t>VOSOW</t>
  </si>
  <si>
    <t>Virtuoso Acquisition Corp. Warrant</t>
  </si>
  <si>
    <t>VOXX</t>
  </si>
  <si>
    <t>VOXX International Corporation Class A Common Stock</t>
  </si>
  <si>
    <t>VPCB</t>
  </si>
  <si>
    <t>VPC Impact Acquisition Holdings II Class A ordinary shre</t>
  </si>
  <si>
    <t>VPCBU</t>
  </si>
  <si>
    <t>VPC Impact Acquisition Holdings II Unit</t>
  </si>
  <si>
    <t>VPCBW</t>
  </si>
  <si>
    <t>VPC Impact Acquisition Holdings II Warrant</t>
  </si>
  <si>
    <t>VRA</t>
  </si>
  <si>
    <t>Vera Bradley Inc. Common Stock</t>
  </si>
  <si>
    <t>VRAR</t>
  </si>
  <si>
    <t>The Glimpse Group Inc. Common Stock</t>
  </si>
  <si>
    <t>VRAY</t>
  </si>
  <si>
    <t>ViewRay Inc. Common Stock</t>
  </si>
  <si>
    <t>VRCA</t>
  </si>
  <si>
    <t>Verrica Pharmaceuticals Inc. Common Stock</t>
  </si>
  <si>
    <t>VRDN</t>
  </si>
  <si>
    <t>Viridian Therapeutics Inc. Common Stock</t>
  </si>
  <si>
    <t>VREX</t>
  </si>
  <si>
    <t>Varex Imaging Corporation Common Stock</t>
  </si>
  <si>
    <t>VRM</t>
  </si>
  <si>
    <t>Vroom Inc. Common Stock</t>
  </si>
  <si>
    <t>VRME</t>
  </si>
  <si>
    <t>VerifyMe Inc. Common Stock</t>
  </si>
  <si>
    <t>VRMEW</t>
  </si>
  <si>
    <t>VerifyMe Inc. Warrant</t>
  </si>
  <si>
    <t>VRNA</t>
  </si>
  <si>
    <t>Verona Pharma plc American Depositary Share</t>
  </si>
  <si>
    <t>VRNS</t>
  </si>
  <si>
    <t>Varonis Systems Inc. Common Stock</t>
  </si>
  <si>
    <t>VRNT</t>
  </si>
  <si>
    <t>Verint Systems Inc. Common Stock</t>
  </si>
  <si>
    <t>VRPX</t>
  </si>
  <si>
    <t>Virpax Pharmaceuticals Inc. Common Stock</t>
  </si>
  <si>
    <t>VRRM</t>
  </si>
  <si>
    <t>Verra Mobility Corporation Class A Common Stock</t>
  </si>
  <si>
    <t>VRSK</t>
  </si>
  <si>
    <t>Verisk Analytics Inc. Common Stock</t>
  </si>
  <si>
    <t>VRSN</t>
  </si>
  <si>
    <t>VeriSign Inc. Common Stock</t>
  </si>
  <si>
    <t>VRTS</t>
  </si>
  <si>
    <t>Virtus Investment Partners Inc. Common Stock</t>
  </si>
  <si>
    <t>VRTX</t>
  </si>
  <si>
    <t>Vertex Pharmaceuticals Incorporated Common Stock</t>
  </si>
  <si>
    <t>VS</t>
  </si>
  <si>
    <t>Versus Systems Inc. Common Shares</t>
  </si>
  <si>
    <t>VSAT</t>
  </si>
  <si>
    <t>ViaSat Inc. Common Stock</t>
  </si>
  <si>
    <t>VSEC</t>
  </si>
  <si>
    <t>VSE Corporation Common Stock</t>
  </si>
  <si>
    <t>VSSYW</t>
  </si>
  <si>
    <t>Versus Systems Inc. Class A Warrants</t>
  </si>
  <si>
    <t>VSTA</t>
  </si>
  <si>
    <t>Vasta Platform Limited Class A Ordinary Shares</t>
  </si>
  <si>
    <t>VSTM</t>
  </si>
  <si>
    <t>Verastem Inc. Common Stock</t>
  </si>
  <si>
    <t>VTAQ</t>
  </si>
  <si>
    <t>Ventoux CCM Acquisition Corp. Common Stock</t>
  </si>
  <si>
    <t>VTAQR</t>
  </si>
  <si>
    <t>Ventoux CCM Acquisition Corp. Right</t>
  </si>
  <si>
    <t>VTAQU</t>
  </si>
  <si>
    <t>Ventoux CCM Acquisition Corp. Unit</t>
  </si>
  <si>
    <t>VTAQW</t>
  </si>
  <si>
    <t>Ventoux CCM Acquisition Corp. Warrant</t>
  </si>
  <si>
    <t>VTGN</t>
  </si>
  <si>
    <t>VistaGen Therapeutics Inc. Common Stock</t>
  </si>
  <si>
    <t>VTIQ</t>
  </si>
  <si>
    <t>VectoIQ Acquisition Corp. II Class A Common Stock</t>
  </si>
  <si>
    <t>VTIQU</t>
  </si>
  <si>
    <t>VectoIQ Acquisition Corp. II Unit</t>
  </si>
  <si>
    <t>VTIQW</t>
  </si>
  <si>
    <t>VectoIQ Acquisition Corp. II Warrant</t>
  </si>
  <si>
    <t>VTNR</t>
  </si>
  <si>
    <t>Vertex Energy Inc Common Stock</t>
  </si>
  <si>
    <t>VTRS</t>
  </si>
  <si>
    <t>Viatris Inc. Common Stock</t>
  </si>
  <si>
    <t>VTRU</t>
  </si>
  <si>
    <t>Vitru Limited Common Shares</t>
  </si>
  <si>
    <t>VTSI</t>
  </si>
  <si>
    <t>VirTra Inc. Common Stock</t>
  </si>
  <si>
    <t>VTVT</t>
  </si>
  <si>
    <t>vTv Therapeutics Inc. Class A Common Stock</t>
  </si>
  <si>
    <t>VUZI</t>
  </si>
  <si>
    <t>Vuzix Corporation Common Stock</t>
  </si>
  <si>
    <t>VVOS</t>
  </si>
  <si>
    <t>Vivos Therapeutics Inc. Common Stock</t>
  </si>
  <si>
    <t>VVPR</t>
  </si>
  <si>
    <t>VivoPower International PLC Ordinary Shares</t>
  </si>
  <si>
    <t>VWE</t>
  </si>
  <si>
    <t>Vintage Wine Estates Inc. Common Stock</t>
  </si>
  <si>
    <t>VWTR</t>
  </si>
  <si>
    <t>Vidler Water Resources Inc. Common Stock</t>
  </si>
  <si>
    <t>VXRT</t>
  </si>
  <si>
    <t>Vaxart Inc Common Stock</t>
  </si>
  <si>
    <t>VYGR</t>
  </si>
  <si>
    <t>Voyager Therapeutics Inc. Common Stock</t>
  </si>
  <si>
    <t>VYNE</t>
  </si>
  <si>
    <t>VYNE Therapeutics Inc. Common Stock</t>
  </si>
  <si>
    <t>VYNT</t>
  </si>
  <si>
    <t>Vyant Bio Inc. Common Stock</t>
  </si>
  <si>
    <t>WABC</t>
  </si>
  <si>
    <t>Westamerica Bancorporation Common Stock</t>
  </si>
  <si>
    <t>WAFD</t>
  </si>
  <si>
    <t>Washington Federal Inc. Common Stock</t>
  </si>
  <si>
    <t>WAFDP</t>
  </si>
  <si>
    <t>Washington Federal Inc. Depositary Shares</t>
  </si>
  <si>
    <t>WAFU</t>
  </si>
  <si>
    <t>Wah Fu Education Group Limited Ordinary Shares</t>
  </si>
  <si>
    <t>WALD</t>
  </si>
  <si>
    <t>Waldencast Acquisition Corp. Class A Ordinary Share</t>
  </si>
  <si>
    <t>WALDU</t>
  </si>
  <si>
    <t>Waldencast Acquisition Corp. Units</t>
  </si>
  <si>
    <t>WALDW</t>
  </si>
  <si>
    <t>Waldencast Acquisition Corp. Warrant</t>
  </si>
  <si>
    <t>WASH</t>
  </si>
  <si>
    <t>Washington Trust Bancorp Inc. Common Stock</t>
  </si>
  <si>
    <t>WATT</t>
  </si>
  <si>
    <t>Energous Corporation Common Stock</t>
  </si>
  <si>
    <t>WAVE</t>
  </si>
  <si>
    <t>Eco Wave Power Global AB (publ) American Depositary Shares</t>
  </si>
  <si>
    <t>WB</t>
  </si>
  <si>
    <t>Weibo Corporation American Depositary Share</t>
  </si>
  <si>
    <t>WBA</t>
  </si>
  <si>
    <t>Walgreens Boots Alliance Inc. Common Stock</t>
  </si>
  <si>
    <t>WDAY</t>
  </si>
  <si>
    <t>Workday Inc. Class A Common Stock</t>
  </si>
  <si>
    <t>WDC</t>
  </si>
  <si>
    <t>Western Digital Corporation Common Stock</t>
  </si>
  <si>
    <t>WDFC</t>
  </si>
  <si>
    <t>WD-40 Company Common Stock</t>
  </si>
  <si>
    <t>WEN</t>
  </si>
  <si>
    <t>Wendy's Company (The) Common Stock</t>
  </si>
  <si>
    <t>WERN</t>
  </si>
  <si>
    <t>Werner Enterprises Inc. Common Stock</t>
  </si>
  <si>
    <t>WETF</t>
  </si>
  <si>
    <t>WisdomTree Investments Inc. Common Stock</t>
  </si>
  <si>
    <t>WEYS</t>
  </si>
  <si>
    <t>Weyco Group Inc. Common Stock</t>
  </si>
  <si>
    <t>WFCF</t>
  </si>
  <si>
    <t>Where Food Comes From Inc. Common Stock</t>
  </si>
  <si>
    <t>WFRD</t>
  </si>
  <si>
    <t>Weatherford International plc Ordinary Shares</t>
  </si>
  <si>
    <t>WHF</t>
  </si>
  <si>
    <t>WhiteHorse Finance Inc. Common Stock</t>
  </si>
  <si>
    <t>WHFBZ</t>
  </si>
  <si>
    <t>WhiteHorse Finance Inc. 6.50% Notes due 2025</t>
  </si>
  <si>
    <t>WHLM</t>
  </si>
  <si>
    <t>Wilhelmina International Inc. Common Stock</t>
  </si>
  <si>
    <t>WHLR</t>
  </si>
  <si>
    <t>Wheeler Real Estate Investment Trust Inc. Common Stock</t>
  </si>
  <si>
    <t>WHLRD</t>
  </si>
  <si>
    <t>Wheeler Real Estate Investment Trust Inc. Series D Cumulative Preferred Stock</t>
  </si>
  <si>
    <t>WHLRP</t>
  </si>
  <si>
    <t>Wheeler Real Estate Investment Trust Inc. Class B Preferred Stock</t>
  </si>
  <si>
    <t>WILC</t>
  </si>
  <si>
    <t>G. Willi-Food International  Ltd. Ordinary Shares</t>
  </si>
  <si>
    <t>WIMI</t>
  </si>
  <si>
    <t>WiMi Hologram Cloud Inc. American Depositary Share</t>
  </si>
  <si>
    <t>WINA</t>
  </si>
  <si>
    <t>Winmark Corporation Common Stock</t>
  </si>
  <si>
    <t>WING</t>
  </si>
  <si>
    <t>Wingstop Inc. Common Stock</t>
  </si>
  <si>
    <t>WINT</t>
  </si>
  <si>
    <t>Windtree Therapeutics Inc. Common Stock</t>
  </si>
  <si>
    <t>WIRE</t>
  </si>
  <si>
    <t>Encore Wire Corporation Common Stock</t>
  </si>
  <si>
    <t>WISA</t>
  </si>
  <si>
    <t>Summit Wireless Technologies Inc. Common Stock</t>
  </si>
  <si>
    <t>WISH</t>
  </si>
  <si>
    <t>ContextLogic Inc. Class A Common Stock</t>
  </si>
  <si>
    <t>WIX</t>
  </si>
  <si>
    <t>Wix.com Ltd. Ordinary Shares</t>
  </si>
  <si>
    <t>WKEY</t>
  </si>
  <si>
    <t>WISeKey International Holding AG American Depositary Shares</t>
  </si>
  <si>
    <t>WKHS</t>
  </si>
  <si>
    <t>Workhorse Group Inc. Common Stock</t>
  </si>
  <si>
    <t>WKME</t>
  </si>
  <si>
    <t>WalkMe Ltd. Ordinary Shares</t>
  </si>
  <si>
    <t>WKSP</t>
  </si>
  <si>
    <t>Worksport Ltd. Common Stock</t>
  </si>
  <si>
    <t>WKSPW</t>
  </si>
  <si>
    <t>Worksport Ltd. Warrant</t>
  </si>
  <si>
    <t>WLDN</t>
  </si>
  <si>
    <t>Willdan Group Inc. Common Stock</t>
  </si>
  <si>
    <t>WLFC</t>
  </si>
  <si>
    <t>Willis Lease Finance Corporation Common Stock</t>
  </si>
  <si>
    <t>WLTW</t>
  </si>
  <si>
    <t>Willis Towers Watson Public Limited Company Ordinary Shares</t>
  </si>
  <si>
    <t>WMG</t>
  </si>
  <si>
    <t>Warner Music Group Corp. Class A Common Stock</t>
  </si>
  <si>
    <t>WMPN</t>
  </si>
  <si>
    <t>William Penn Bancorporation Common Stock</t>
  </si>
  <si>
    <t>WNEB</t>
  </si>
  <si>
    <t>Western New England Bancorp Inc. Common Stock</t>
  </si>
  <si>
    <t>WNW</t>
  </si>
  <si>
    <t>Wunong Net Technology Company Limited Ordinary Shares</t>
  </si>
  <si>
    <t>WOOF</t>
  </si>
  <si>
    <t>Petco Health and Wellness Company Inc. Class A Common Stock</t>
  </si>
  <si>
    <t>WORX</t>
  </si>
  <si>
    <t>SCWorx Corp. Common Stock</t>
  </si>
  <si>
    <t>WPRT</t>
  </si>
  <si>
    <t>Westport Fuel Systems Inc Common Shares</t>
  </si>
  <si>
    <t>WRAP</t>
  </si>
  <si>
    <t>Wrap Technologies Inc. Common Stock</t>
  </si>
  <si>
    <t>WRLD</t>
  </si>
  <si>
    <t>World Acceptance Corporation Common Stock</t>
  </si>
  <si>
    <t>WSBC</t>
  </si>
  <si>
    <t>WesBanco Inc. Common Stock</t>
  </si>
  <si>
    <t>WSBCP</t>
  </si>
  <si>
    <t>WesBanco Inc. Depositary Shares Each Representing a 1/40th Interest in a Share of 6.75% Fixed-Rate Reset Non-Cumulative Perpetual Preferred Stock Series A</t>
  </si>
  <si>
    <t>WSBF</t>
  </si>
  <si>
    <t>Waterstone Financial Inc. Common Stock (MD)</t>
  </si>
  <si>
    <t>WSC</t>
  </si>
  <si>
    <t>WillScot Mobile Mini Holdings Corp. Class A Common Stock</t>
  </si>
  <si>
    <t>WSFS</t>
  </si>
  <si>
    <t>WSFS Financial Corporation Common Stock</t>
  </si>
  <si>
    <t>WSTG</t>
  </si>
  <si>
    <t>Wayside Technology Group Inc. Common Stock</t>
  </si>
  <si>
    <t>WTBA</t>
  </si>
  <si>
    <t>West Bancorporation Common Stock</t>
  </si>
  <si>
    <t>WTER</t>
  </si>
  <si>
    <t>The Alkaline Water Company Inc. Common Stock</t>
  </si>
  <si>
    <t>WTFC</t>
  </si>
  <si>
    <t>Wintrust Financial Corporation Common Stock</t>
  </si>
  <si>
    <t>WTFCM</t>
  </si>
  <si>
    <t>Wintrust Financial Corporation Fixed-to-Floating Rate Non-Cumulative Perpetual Preferred Stock Series D</t>
  </si>
  <si>
    <t>WTFCP</t>
  </si>
  <si>
    <t>Wintrust Financial Corporation Depositary Shares Each Representing a 1/1000th Interest in a Share of 6.875% Fixed-Rate Reset Non-Cumulative Perpetual Preferred Stock Series E</t>
  </si>
  <si>
    <t>WTRH</t>
  </si>
  <si>
    <t>Waitr Holdings Inc. Common Stock</t>
  </si>
  <si>
    <t>WVE</t>
  </si>
  <si>
    <t>Wave Life Sciences Ltd. Ordinary Shares</t>
  </si>
  <si>
    <t>WVFC</t>
  </si>
  <si>
    <t>WVS Financial Corp. Common Stock</t>
  </si>
  <si>
    <t>WVVI</t>
  </si>
  <si>
    <t>Willamette Valley Vineyards Inc. Common Stock</t>
  </si>
  <si>
    <t>WVVIP</t>
  </si>
  <si>
    <t>Willamette Valley Vineyards Inc. Series A Redeemable Preferred Stock</t>
  </si>
  <si>
    <t>WW</t>
  </si>
  <si>
    <t>WW International Inc. Common Stock</t>
  </si>
  <si>
    <t>WWD</t>
  </si>
  <si>
    <t>Woodward Inc. Common Stock</t>
  </si>
  <si>
    <t>WYNN</t>
  </si>
  <si>
    <t>Wynn Resorts Limited Common stock</t>
  </si>
  <si>
    <t>XAIR</t>
  </si>
  <si>
    <t>Beyond Air Inc. Common Stock</t>
  </si>
  <si>
    <t>XBIO</t>
  </si>
  <si>
    <t>Xenetic Biosciences Inc. Common Stock</t>
  </si>
  <si>
    <t>XBIOW</t>
  </si>
  <si>
    <t>Xenetic Biosciences Inc. Warrants</t>
  </si>
  <si>
    <t>XBIT</t>
  </si>
  <si>
    <t>XBiotech Inc. Common Stock</t>
  </si>
  <si>
    <t>XCUR</t>
  </si>
  <si>
    <t>Exicure Inc. Common Stock</t>
  </si>
  <si>
    <t>XEL</t>
  </si>
  <si>
    <t>Xcel Energy Inc. Common Stock</t>
  </si>
  <si>
    <t>XELA</t>
  </si>
  <si>
    <t>Exela Technologies Inc. Common Stock</t>
  </si>
  <si>
    <t>XELB</t>
  </si>
  <si>
    <t>Xcel Brands Inc. Common Stock</t>
  </si>
  <si>
    <t>XENE</t>
  </si>
  <si>
    <t>Xenon Pharmaceuticals Inc. Common Shares</t>
  </si>
  <si>
    <t>XENT</t>
  </si>
  <si>
    <t>Intersect ENT Inc. Common Stock</t>
  </si>
  <si>
    <t>XERS</t>
  </si>
  <si>
    <t>Xeris Pharmaceuticals Inc. Common Stock</t>
  </si>
  <si>
    <t>XFOR</t>
  </si>
  <si>
    <t>X4 Pharmaceuticals Inc. Common Stock</t>
  </si>
  <si>
    <t>XGN</t>
  </si>
  <si>
    <t>Exagen Inc. Common Stock</t>
  </si>
  <si>
    <t>XLNX</t>
  </si>
  <si>
    <t>Xilinx Inc. Common Stock</t>
  </si>
  <si>
    <t>XLRN</t>
  </si>
  <si>
    <t>Acceleron Pharma Inc. Common Stock</t>
  </si>
  <si>
    <t>XM</t>
  </si>
  <si>
    <t>Qualtrics International Inc. Class A Common Stock</t>
  </si>
  <si>
    <t>XMTR</t>
  </si>
  <si>
    <t>Xometry Inc. Class A Common Stock</t>
  </si>
  <si>
    <t>XNCR</t>
  </si>
  <si>
    <t>Xencor Inc. Common Stock</t>
  </si>
  <si>
    <t>XNET</t>
  </si>
  <si>
    <t>Xunlei Limited American Depositary Receipts</t>
  </si>
  <si>
    <t>XOG</t>
  </si>
  <si>
    <t>Extraction Oil &amp; Gas Inc. Common Stock</t>
  </si>
  <si>
    <t>XOMA</t>
  </si>
  <si>
    <t>XOMA Corporation Common Stock</t>
  </si>
  <si>
    <t>XOMAO</t>
  </si>
  <si>
    <t>XOMA Corporation Depositary Shares Rep Series B 8.375% Cumulative Preferred Stock</t>
  </si>
  <si>
    <t>XOMAP</t>
  </si>
  <si>
    <t>XOMA Corporation 8.625% Series A Cumulative Perpetual Preferred Stock</t>
  </si>
  <si>
    <t>XONE</t>
  </si>
  <si>
    <t>The ExOne Company Common Stock</t>
  </si>
  <si>
    <t>XP</t>
  </si>
  <si>
    <t>XP Inc. Class A Common Stock</t>
  </si>
  <si>
    <t>XPAXU</t>
  </si>
  <si>
    <t>XPAC Acquisition Corp. Unit</t>
  </si>
  <si>
    <t>XPDI</t>
  </si>
  <si>
    <t>Power &amp; Digital Infrastructure Acquisition Corp. Class A Common Stock</t>
  </si>
  <si>
    <t>XPDIU</t>
  </si>
  <si>
    <t>Power &amp; Digital Infrastructure Acquisition Corp. Unit</t>
  </si>
  <si>
    <t>XPDIW</t>
  </si>
  <si>
    <t>Power &amp; Digital Infrastructure Acquisition Corp. Warrant</t>
  </si>
  <si>
    <t>XPEL</t>
  </si>
  <si>
    <t>XPEL Inc. Common Stock</t>
  </si>
  <si>
    <t>XPER</t>
  </si>
  <si>
    <t>Xperi Holding Corporation Common Stock</t>
  </si>
  <si>
    <t>XRAY</t>
  </si>
  <si>
    <t>DENTSPLY SIRONA Inc. Common Stock</t>
  </si>
  <si>
    <t>XSPA</t>
  </si>
  <si>
    <t>XpresSpa Group Inc. Common Stock</t>
  </si>
  <si>
    <t>XTLB</t>
  </si>
  <si>
    <t>XTL Biopharmaceuticals Ltd. American Depositary Shares</t>
  </si>
  <si>
    <t>YELL</t>
  </si>
  <si>
    <t>Yellow Corporation Common Stock</t>
  </si>
  <si>
    <t>YGMZ</t>
  </si>
  <si>
    <t>MingZhu Logistics Holdings Limited Ordinary Shares</t>
  </si>
  <si>
    <t>YI</t>
  </si>
  <si>
    <t>111 Inc. American Depositary Shares</t>
  </si>
  <si>
    <t>YJ</t>
  </si>
  <si>
    <t>Yunji Inc. American Depository Shares</t>
  </si>
  <si>
    <t>YMAB</t>
  </si>
  <si>
    <t>Y-mAbs Therapeutics Inc. Common Stock</t>
  </si>
  <si>
    <t>YMTX</t>
  </si>
  <si>
    <t>Yumanity Therapeutics Inc. Common Stock</t>
  </si>
  <si>
    <t>YNDX</t>
  </si>
  <si>
    <t>Yandex N.V. Class A Ordinary Shares</t>
  </si>
  <si>
    <t>YORW</t>
  </si>
  <si>
    <t>York Water Company (The) Common Stock</t>
  </si>
  <si>
    <t>YQ</t>
  </si>
  <si>
    <t>17 Education &amp; Technology Group Inc. American Depositary Shares</t>
  </si>
  <si>
    <t>YSAC</t>
  </si>
  <si>
    <t>Yellowstone Acquisition Company Class A Common Stock</t>
  </si>
  <si>
    <t>YSACU</t>
  </si>
  <si>
    <t>Yellowstone Acquisition Company Units</t>
  </si>
  <si>
    <t>YSACW</t>
  </si>
  <si>
    <t>Yellowstone Acquisition Company Warrants to purchase Class A common stock</t>
  </si>
  <si>
    <t>YTEN</t>
  </si>
  <si>
    <t>Yield10 Bioscience Inc. Common Stock</t>
  </si>
  <si>
    <t>YTRA</t>
  </si>
  <si>
    <t>Yatra Online Inc. Ordinary Shares</t>
  </si>
  <si>
    <t>YVR</t>
  </si>
  <si>
    <t>Liquid Media Group Ltd. Common Shares</t>
  </si>
  <si>
    <t>YY</t>
  </si>
  <si>
    <t>JOYY Inc. American Depositary Shares</t>
  </si>
  <si>
    <t>Z</t>
  </si>
  <si>
    <t>Zillow Group Inc. Class C Capital Stock</t>
  </si>
  <si>
    <t>ZBRA</t>
  </si>
  <si>
    <t>Zebra Technologies Corporation Class A Common Stock</t>
  </si>
  <si>
    <t>ZCMD</t>
  </si>
  <si>
    <t>Zhongchao Inc. Class A Ordinary Shares</t>
  </si>
  <si>
    <t>ZEAL</t>
  </si>
  <si>
    <t>Zealand Pharma A/S American Depositary Shares</t>
  </si>
  <si>
    <t>ZENV</t>
  </si>
  <si>
    <t>Zenvia Inc. Class A Common Stock</t>
  </si>
  <si>
    <t>ZEST</t>
  </si>
  <si>
    <t>Ecoark Holdings Inc. Common Stock</t>
  </si>
  <si>
    <t>ZEUS</t>
  </si>
  <si>
    <t>Olympic Steel Inc. Common Stock</t>
  </si>
  <si>
    <t>ZG</t>
  </si>
  <si>
    <t>Zillow Group Inc. Class A Common Stock</t>
  </si>
  <si>
    <t>ZGNX</t>
  </si>
  <si>
    <t>Zogenix Inc. Common Stock</t>
  </si>
  <si>
    <t>ZGYH</t>
  </si>
  <si>
    <t>Yunhong International Class A Ordinary Shares</t>
  </si>
  <si>
    <t>ZGYHR</t>
  </si>
  <si>
    <t>Yunhong International Right</t>
  </si>
  <si>
    <t>ZGYHU</t>
  </si>
  <si>
    <t>Yunhong International Unit</t>
  </si>
  <si>
    <t>ZGYHW</t>
  </si>
  <si>
    <t>Yunhong International Warrant</t>
  </si>
  <si>
    <t>ZI</t>
  </si>
  <si>
    <t>ZoomInfo Technologies Inc. Class A Common Stock</t>
  </si>
  <si>
    <t>ZION</t>
  </si>
  <si>
    <t>Zions Bancorporation N.A. Common Stock</t>
  </si>
  <si>
    <t>ZIONL</t>
  </si>
  <si>
    <t>Zions Bancorporation 6.95% Fixed-to-Floating Rate Subordinated Notes</t>
  </si>
  <si>
    <t>ZIONO</t>
  </si>
  <si>
    <t>Zions Bancorporation N.A. Dep Shs Repstg 1/40th Perp Pfd Ser G</t>
  </si>
  <si>
    <t>ZIONP</t>
  </si>
  <si>
    <t>Zions Bancorporation N.A. Depositary Shares (Each representing 1/40th Interest in a Share of Series A Floating-Rate Non-Cumulative Perpetual Preferred Stock)</t>
  </si>
  <si>
    <t>ZIOP</t>
  </si>
  <si>
    <t>ZIOPHARM Oncology Inc Common Stock</t>
  </si>
  <si>
    <t>ZIVO</t>
  </si>
  <si>
    <t>Zivo Bioscience Inc. Common Stock</t>
  </si>
  <si>
    <t>ZIVOW</t>
  </si>
  <si>
    <t>Zivo Bioscience Inc. Warrants</t>
  </si>
  <si>
    <t>ZIXI</t>
  </si>
  <si>
    <t>Zix Corporation Common Stock</t>
  </si>
  <si>
    <t>ZKIN</t>
  </si>
  <si>
    <t>ZK International Group Co. Ltd Ordinary Share</t>
  </si>
  <si>
    <t>ZLAB</t>
  </si>
  <si>
    <t>Zai Lab Limited American Depositary Shares</t>
  </si>
  <si>
    <t>ZM</t>
  </si>
  <si>
    <t>Zoom Video Communications Inc. Class A Common Stock</t>
  </si>
  <si>
    <t>ZNGA</t>
  </si>
  <si>
    <t>Zynga Inc. Class A Common Stock</t>
  </si>
  <si>
    <t>ZNTE</t>
  </si>
  <si>
    <t>Zanite Acquisition Corp. Class A Common Stock</t>
  </si>
  <si>
    <t>ZNTEU</t>
  </si>
  <si>
    <t>Zanite Acquisition Corp. Unit</t>
  </si>
  <si>
    <t>ZNTEW</t>
  </si>
  <si>
    <t>Zanite Acquisition Corp. Warrant</t>
  </si>
  <si>
    <t>ZNTL</t>
  </si>
  <si>
    <t>Zentalis Pharmaceuticals Inc. Common Stock</t>
  </si>
  <si>
    <t>ZS</t>
  </si>
  <si>
    <t>Zscaler Inc. Common Stock</t>
  </si>
  <si>
    <t>ZSAN</t>
  </si>
  <si>
    <t>Zosano Pharma Corporation Common Stock</t>
  </si>
  <si>
    <t>ZTAQU</t>
  </si>
  <si>
    <t>Zimmer Energy Transition Acquisition Corp. Units</t>
  </si>
  <si>
    <t>ZUMZ</t>
  </si>
  <si>
    <t>Zumiez Inc. Common Stock</t>
  </si>
  <si>
    <t>ZVO</t>
  </si>
  <si>
    <t>Zovio Inc. Common Stock</t>
  </si>
  <si>
    <t>ZWRK</t>
  </si>
  <si>
    <t>Z-Work Acquisition Corp. Class A Common Stock</t>
  </si>
  <si>
    <t>ZWRKU</t>
  </si>
  <si>
    <t>Z-Work Acquisition Corp. Units</t>
  </si>
  <si>
    <t>ZWRKW</t>
  </si>
  <si>
    <t>Z-Work Acquisition Corp. Warrant</t>
  </si>
  <si>
    <t>ZY</t>
  </si>
  <si>
    <t>Zymergen Inc. Common Stock</t>
  </si>
  <si>
    <t>ZYNE</t>
  </si>
  <si>
    <t>Zynerba Pharmaceuticals Inc. Common Stock</t>
  </si>
  <si>
    <t>ZYXI</t>
  </si>
  <si>
    <t>Zynex Inc. Common Stock</t>
  </si>
  <si>
    <t>A</t>
  </si>
  <si>
    <t>Agilent Technologies Inc. Common Stock</t>
  </si>
  <si>
    <t>AA</t>
  </si>
  <si>
    <t>Alcoa Corporation Common Stock</t>
  </si>
  <si>
    <t>AAC</t>
  </si>
  <si>
    <t>Ares Acquisition Corporation Class A Ordinary Shares</t>
  </si>
  <si>
    <t>AAIC</t>
  </si>
  <si>
    <t>Arlington Asset Investment Corp Class A (new)</t>
  </si>
  <si>
    <t>AAIC^B</t>
  </si>
  <si>
    <t>Arlington Asset Investment Corp 7.00%</t>
  </si>
  <si>
    <t>AAIC^C</t>
  </si>
  <si>
    <t>Arlington Asset Investment Corp 8.250% Seies C Fixed-to-Floating Rate Cumulative Redeemable Preferred Stock</t>
  </si>
  <si>
    <t>AAIN</t>
  </si>
  <si>
    <t>Arlington Asset Investment Corp 6.000% Senior Notes Due 2026</t>
  </si>
  <si>
    <t>AAN</t>
  </si>
  <si>
    <t>Aarons Holdings Company Inc. Common Stock</t>
  </si>
  <si>
    <t>AAP</t>
  </si>
  <si>
    <t>Advance Auto Parts Inc Advance Auto Parts Inc W/I</t>
  </si>
  <si>
    <t>AAQC</t>
  </si>
  <si>
    <t>Accelerate Acquisition Corp. Class A Common Stock</t>
  </si>
  <si>
    <t>AAT</t>
  </si>
  <si>
    <t>American Assets Trust Inc. Common Stock</t>
  </si>
  <si>
    <t>AB</t>
  </si>
  <si>
    <t>AllianceBernstein Holding L.P.  Units</t>
  </si>
  <si>
    <t>ABB</t>
  </si>
  <si>
    <t>ABB Ltd Common Stock</t>
  </si>
  <si>
    <t>ABBV</t>
  </si>
  <si>
    <t>AbbVie Inc. Common Stock</t>
  </si>
  <si>
    <t>ABC</t>
  </si>
  <si>
    <t>AmerisourceBergen Corporation Common Stock</t>
  </si>
  <si>
    <t>ABEV</t>
  </si>
  <si>
    <t>Ambev S.A. American Depositary Shares (Each representing 1 Common Share)</t>
  </si>
  <si>
    <t>ABG</t>
  </si>
  <si>
    <t>Asbury Automotive Group Inc Common Stock</t>
  </si>
  <si>
    <t>ABM</t>
  </si>
  <si>
    <t>ABM Industries Incorporated Common Stock</t>
  </si>
  <si>
    <t>ABR</t>
  </si>
  <si>
    <t>Arbor Realty Trust Common Stock</t>
  </si>
  <si>
    <t>ABR^D</t>
  </si>
  <si>
    <t>Arbor Realty Trust 6.375% Series D Cumulative Redeemable Preferred Stock Liquidation Preference $25.00 per Share</t>
  </si>
  <si>
    <t>ABT</t>
  </si>
  <si>
    <t>Abbott Laboratories Common Stock</t>
  </si>
  <si>
    <t>AC</t>
  </si>
  <si>
    <t>Associated Capital Group Inc. Common Stock</t>
  </si>
  <si>
    <t>ACA</t>
  </si>
  <si>
    <t>Arcosa Inc. Common Stock</t>
  </si>
  <si>
    <t>ACC</t>
  </si>
  <si>
    <t>American Campus Communities Inc Common Stock</t>
  </si>
  <si>
    <t>ACCO</t>
  </si>
  <si>
    <t>Acco Brands Corporation Common Stock</t>
  </si>
  <si>
    <t>ACEL</t>
  </si>
  <si>
    <t>Accel Entertainment Inc.</t>
  </si>
  <si>
    <t>ACH</t>
  </si>
  <si>
    <t>Aluminum Corporation of China Limited American Depositary Shares</t>
  </si>
  <si>
    <t>ACI</t>
  </si>
  <si>
    <t>Albertsons Companies Inc. Class A Common Stock</t>
  </si>
  <si>
    <t>ACIC</t>
  </si>
  <si>
    <t>Atlas Crest Investment Corp. Class A Common Stock</t>
  </si>
  <si>
    <t>ACII</t>
  </si>
  <si>
    <t>Atlas Crest Investment Corp. II Class A Common Stock</t>
  </si>
  <si>
    <t>ACM</t>
  </si>
  <si>
    <t>AECOM Common Stock</t>
  </si>
  <si>
    <t>ACN</t>
  </si>
  <si>
    <t>Accenture plc Class A Ordinary Shares (Ireland)</t>
  </si>
  <si>
    <t>ACP</t>
  </si>
  <si>
    <t>Aberdeen Income Credit Strategies Fund Common Shares</t>
  </si>
  <si>
    <t>ACP^A</t>
  </si>
  <si>
    <t>Aberdeen Income Credit Strategies Fund 5.250% Series A Perpetual Preferred Stock</t>
  </si>
  <si>
    <t>ACR</t>
  </si>
  <si>
    <t>ACRES Commercial Realty Corp. Common Stock</t>
  </si>
  <si>
    <t>ACR^C</t>
  </si>
  <si>
    <t>ACRES Commercial Realty Corp. 8.625% Fixed-to-Floating Series C Cumulative Redeemable Preferred Stock</t>
  </si>
  <si>
    <t>ACR^D</t>
  </si>
  <si>
    <t>ACRES Commercial Realty Corp. 7.875% Series D Cumulative Redeemable Preferred Stock</t>
  </si>
  <si>
    <t>ACRE</t>
  </si>
  <si>
    <t>Ares Commercial Real Estate Corporation Common Stock</t>
  </si>
  <si>
    <t>ACV</t>
  </si>
  <si>
    <t>Virtus AllianzGI Diversified Income &amp; Convertible Fund Common Shares of Beneficial Interest</t>
  </si>
  <si>
    <t>ADC</t>
  </si>
  <si>
    <t>Agree Realty Corporation Common Stock</t>
  </si>
  <si>
    <t>ADCT</t>
  </si>
  <si>
    <t>ADC Therapeutics SA Common Shares</t>
  </si>
  <si>
    <t>ADEX</t>
  </si>
  <si>
    <t>Adit EdTech Acquisition Corp. Common Stock</t>
  </si>
  <si>
    <t>ADF</t>
  </si>
  <si>
    <t>Aldel Financial Inc. Class A Common Stock</t>
  </si>
  <si>
    <t>ADM</t>
  </si>
  <si>
    <t>Archer-Daniels-Midland Company Common Stock</t>
  </si>
  <si>
    <t>ADNT</t>
  </si>
  <si>
    <t>Adient plc Ordinary Shares</t>
  </si>
  <si>
    <t>ADS</t>
  </si>
  <si>
    <t>Alliance Data Systems Corporation Common Stock</t>
  </si>
  <si>
    <t>ADT</t>
  </si>
  <si>
    <t>ADT Inc. Common Stock</t>
  </si>
  <si>
    <t>ADX</t>
  </si>
  <si>
    <t>Adams Diversified Equity Fund Inc.</t>
  </si>
  <si>
    <t>AEB</t>
  </si>
  <si>
    <t>AEGON N.V. Perp. Cap. Secs. Floating Rate (Netherlands)</t>
  </si>
  <si>
    <t>AEE</t>
  </si>
  <si>
    <t>Ameren Corporation Common Stock</t>
  </si>
  <si>
    <t>AEFC</t>
  </si>
  <si>
    <t>Aegon Funding Company LLC 5.10% Subordinated Notes due 2049</t>
  </si>
  <si>
    <t>AEG</t>
  </si>
  <si>
    <t>AEGON N.V. Common Stock</t>
  </si>
  <si>
    <t>AEL</t>
  </si>
  <si>
    <t>American Equity Investment Life Holding Company Common Stock</t>
  </si>
  <si>
    <t>AEL^A</t>
  </si>
  <si>
    <t>American Equity Investment Life Holding Company Depositary Shares each representing a 1/1000th interest in a share of 5.95% Fixed-Rate Reset Non-Cumulative Preferred Stock Series A</t>
  </si>
  <si>
    <t>AEL^B</t>
  </si>
  <si>
    <t>American Equity Investment Life Holding Company Depositary Shares each representing a 1/1000th interest in a share of 6.625% Fixed-Rate Reset Non-Cumulative Preferred Stock Series B</t>
  </si>
  <si>
    <t>AEM</t>
  </si>
  <si>
    <t>Agnico Eagle Mines Limited Common Stock</t>
  </si>
  <si>
    <t>AENZ</t>
  </si>
  <si>
    <t>Aenza S.A.A. American Depositary Shares</t>
  </si>
  <si>
    <t>AEO</t>
  </si>
  <si>
    <t>American Eagle Outfitters Inc. Common Stock</t>
  </si>
  <si>
    <t>AER</t>
  </si>
  <si>
    <t>AerCap Holdings N.V. Ordinary Shares</t>
  </si>
  <si>
    <t>AES</t>
  </si>
  <si>
    <t>The AES Corporation Common Stock</t>
  </si>
  <si>
    <t>AESC</t>
  </si>
  <si>
    <t>The AES Corporation Corporate Units</t>
  </si>
  <si>
    <t>AEVA</t>
  </si>
  <si>
    <t>Aeva Technologies Inc. Common Stock</t>
  </si>
  <si>
    <t>AFB</t>
  </si>
  <si>
    <t>AllianceBernstein National Municipal Income Fund Inc</t>
  </si>
  <si>
    <t>AFG</t>
  </si>
  <si>
    <t>American Financial Group Inc. Common Stock</t>
  </si>
  <si>
    <t>AFGB</t>
  </si>
  <si>
    <t>American Financial Group Inc. 5.875% Subordinated Debentures due 2059</t>
  </si>
  <si>
    <t>AFGC</t>
  </si>
  <si>
    <t>American Financial Group Inc. 5.125% Subordinated Debentures due 2059</t>
  </si>
  <si>
    <t>AFGD</t>
  </si>
  <si>
    <t>American Financial Group Inc. 5.625% Subordinated Debentures due 2060</t>
  </si>
  <si>
    <t>AFGE</t>
  </si>
  <si>
    <t>American Financial Group Inc. 4.500% Subordinated Debentures due 2060</t>
  </si>
  <si>
    <t>AFI</t>
  </si>
  <si>
    <t>Armstrong Flooring Inc. Common Stock</t>
  </si>
  <si>
    <t>AFL</t>
  </si>
  <si>
    <t>AFLAC Incorporated Common Stock</t>
  </si>
  <si>
    <t>AFT</t>
  </si>
  <si>
    <t>Apollo Senior Floating Rate Fund Inc. Common Stock</t>
  </si>
  <si>
    <t>AG</t>
  </si>
  <si>
    <t>First Majestic Silver Corp. Ordinary Shares (Canada)</t>
  </si>
  <si>
    <t>AGAC</t>
  </si>
  <si>
    <t>African Gold Acquisition Corporation Class A Ordinary Shares</t>
  </si>
  <si>
    <t>AGCB</t>
  </si>
  <si>
    <t>Altimeter Growth Corp. 2 Class A Ordinary Shares</t>
  </si>
  <si>
    <t>AGCO</t>
  </si>
  <si>
    <t>AGCO Corporation Common Stock</t>
  </si>
  <si>
    <t>AGD</t>
  </si>
  <si>
    <t>Aberdeen Global Dynamic Dividend Fund</t>
  </si>
  <si>
    <t>AGI</t>
  </si>
  <si>
    <t>Alamos Gold Inc. Class A Common Shares</t>
  </si>
  <si>
    <t>AGL</t>
  </si>
  <si>
    <t>agilon health inc. Common Stock</t>
  </si>
  <si>
    <t>AGM</t>
  </si>
  <si>
    <t>Federal Agricultural Mortgage Corporation Common Stock</t>
  </si>
  <si>
    <t>AGM^D</t>
  </si>
  <si>
    <t>Federal Agricultural Mortgage Corporation 5.700% Non-Cumulative Preferred Stock Series D</t>
  </si>
  <si>
    <t>AGM^E</t>
  </si>
  <si>
    <t>Federal Agricultural Mortgage Corporation 5.750% Non-Cumulative Preferred Stock Series E</t>
  </si>
  <si>
    <t>AGM^F</t>
  </si>
  <si>
    <t>Federal Agricultural Mortgage Corporation 5.250% Non-Cumulative Preferred Stock Series F</t>
  </si>
  <si>
    <t>AGM^G</t>
  </si>
  <si>
    <t>Federal Agricultural Mortgage Corporation 4.875% Non-Cumulative Preferred Stock Series G</t>
  </si>
  <si>
    <t>AGO</t>
  </si>
  <si>
    <t>Assured Guaranty Ltd. Common Stock</t>
  </si>
  <si>
    <t>AGO^E</t>
  </si>
  <si>
    <t>Assured Guaranty Ltd.</t>
  </si>
  <si>
    <t>AGO^F</t>
  </si>
  <si>
    <t>AGR</t>
  </si>
  <si>
    <t>Avangrid Inc. Common Stock</t>
  </si>
  <si>
    <t>AGRO</t>
  </si>
  <si>
    <t>Adecoagro S.A. Common Shares</t>
  </si>
  <si>
    <t>AGS</t>
  </si>
  <si>
    <t>PlayAGS Inc. Common Stock</t>
  </si>
  <si>
    <t>AGTI</t>
  </si>
  <si>
    <t>Agiliti Inc. Common Stock</t>
  </si>
  <si>
    <t>AGX</t>
  </si>
  <si>
    <t>Argan Inc. Common Stock</t>
  </si>
  <si>
    <t>AHH</t>
  </si>
  <si>
    <t>Armada Hoffler Properties Inc. Common Stock</t>
  </si>
  <si>
    <t>AHH^A</t>
  </si>
  <si>
    <t>Armada Hoffler Properties Inc. 6.75% Series A Cumulative Redeemable Perpetual Preferred Stock</t>
  </si>
  <si>
    <t>AHL^C</t>
  </si>
  <si>
    <t>Aspen Insurance Holdings Limited 5.95% Fixed-to-Floating Rate Perpetual Non-Cumulative Preference Shares</t>
  </si>
  <si>
    <t>AHL^D</t>
  </si>
  <si>
    <t>Aspen Insurance Holdings Limited 5.625% Perpetual Non-Cumulative Preference Shares</t>
  </si>
  <si>
    <t>AHL^E</t>
  </si>
  <si>
    <t>Aspen Insurance Holdings Limited Depositary Shares each representing a 1/1000th interest in a share of 5.625% Perpetual Non-Cumulative Preference Shares</t>
  </si>
  <si>
    <t>AHT</t>
  </si>
  <si>
    <t>Ashford Hospitality Trust Inc Common Stock</t>
  </si>
  <si>
    <t>AHT^D</t>
  </si>
  <si>
    <t>Ashford Hospitality Trust Inc 8.45% Series D Cumulative Preferred Stock</t>
  </si>
  <si>
    <t>AHT^F</t>
  </si>
  <si>
    <t>Ashford Hospitality Trust Inc 7.375% Series F Cumulative Preferred Stock</t>
  </si>
  <si>
    <t>AHT^G</t>
  </si>
  <si>
    <t>Ashford Hospitality Trust Inc 7.375% Series G Cumulative Preferred Stock</t>
  </si>
  <si>
    <t>AHT^H</t>
  </si>
  <si>
    <t>Ashford Hospitality Trust Inc 7.50% Series H Cumulative Preferred Stock</t>
  </si>
  <si>
    <t>AHT^I</t>
  </si>
  <si>
    <t>Ashford Hospitality Trust Inc 7.50% Series I Cumulative Preferred Stock</t>
  </si>
  <si>
    <t>AI</t>
  </si>
  <si>
    <t>C3.ai Inc. Class A Common Stock</t>
  </si>
  <si>
    <t>AIC</t>
  </si>
  <si>
    <t>Arlington Asset Investment Corp 6.750% Notes due 2025</t>
  </si>
  <si>
    <t>AIF</t>
  </si>
  <si>
    <t>Apollo Tactical Income Fund Inc. Common Stock</t>
  </si>
  <si>
    <t>AIG</t>
  </si>
  <si>
    <t>American International Group Inc. New Common Stock</t>
  </si>
  <si>
    <t>AIG^A</t>
  </si>
  <si>
    <t>American International Group Inc. Depositary Shares Each Representing a 1/1000th Interest in a Share of Series A 5.85% Non-Cumulative Perpetual Preferred Stock</t>
  </si>
  <si>
    <t>AIN</t>
  </si>
  <si>
    <t>Albany International Corporation Common Stock</t>
  </si>
  <si>
    <t>AIO</t>
  </si>
  <si>
    <t>Virtus AllianzGI Artificial Intelligence &amp; Technology Opportunities Fund Common Shares</t>
  </si>
  <si>
    <t>AIR</t>
  </si>
  <si>
    <t>AAR Corp. Common Stock</t>
  </si>
  <si>
    <t>AIRC</t>
  </si>
  <si>
    <t>Apartment Income REIT Corp. Common Stock</t>
  </si>
  <si>
    <t>AIT</t>
  </si>
  <si>
    <t>Applied Industrial Technologies Inc. Common Stock</t>
  </si>
  <si>
    <t>AIV</t>
  </si>
  <si>
    <t>Apartment Investment and Management Company Common Stock</t>
  </si>
  <si>
    <t>AIZ</t>
  </si>
  <si>
    <t>Assurant Inc. Common Stock</t>
  </si>
  <si>
    <t>AIZN</t>
  </si>
  <si>
    <t>Assurant Inc. 5.25% Subordinated Notes due 2061</t>
  </si>
  <si>
    <t>AJAX</t>
  </si>
  <si>
    <t>Ajax I Class A Ordinary Shares</t>
  </si>
  <si>
    <t>AJG</t>
  </si>
  <si>
    <t>Arthur J. Gallagher &amp; Co. Common Stock</t>
  </si>
  <si>
    <t>AJRD</t>
  </si>
  <si>
    <t>Aerojet Rocketdyne Holdings Inc. Common Stock</t>
  </si>
  <si>
    <t>AJX</t>
  </si>
  <si>
    <t>Great Ajax Corp. Common Stock</t>
  </si>
  <si>
    <t>AJXA</t>
  </si>
  <si>
    <t>Great Ajax Corp. 7.25% Convertible Senior Notes due 2024</t>
  </si>
  <si>
    <t>AKO/A</t>
  </si>
  <si>
    <t>Embotelladora Andina S.A.</t>
  </si>
  <si>
    <t>AKO/B</t>
  </si>
  <si>
    <t>AKR</t>
  </si>
  <si>
    <t>Acadia Realty Trust Common Stock</t>
  </si>
  <si>
    <t>AL</t>
  </si>
  <si>
    <t>Air Lease Corporation Class A Common Stock</t>
  </si>
  <si>
    <t>AL^A</t>
  </si>
  <si>
    <t>Air Lease Corporation 6.150% Fixed-to-Floating Rate Non-Cumulative Perpetual Preferred Stock Series A</t>
  </si>
  <si>
    <t>ALB</t>
  </si>
  <si>
    <t>Albemarle Corporation Common Stock</t>
  </si>
  <si>
    <t>ALC</t>
  </si>
  <si>
    <t>Alcon Inc. Ordinary Shares</t>
  </si>
  <si>
    <t>ALCC</t>
  </si>
  <si>
    <t>AltC Acquisition Corp. Class A Common Stock</t>
  </si>
  <si>
    <t>ALE</t>
  </si>
  <si>
    <t>Allete Inc.</t>
  </si>
  <si>
    <t>ALEX</t>
  </si>
  <si>
    <t>Alexander &amp; Baldwin Inc. Common Stock REIT Holding Company</t>
  </si>
  <si>
    <t>ALG</t>
  </si>
  <si>
    <t>Alamo Group Inc. Common Stock</t>
  </si>
  <si>
    <t>ALIN^A</t>
  </si>
  <si>
    <t>Altera Infrastructure L.P. 7.25% Series A</t>
  </si>
  <si>
    <t>ALIN^B</t>
  </si>
  <si>
    <t>Altera Infrastructure L.P. 8.50% Series B</t>
  </si>
  <si>
    <t>ALIN^E</t>
  </si>
  <si>
    <t>Altera Infrastructure L.P. 8.875% Series E</t>
  </si>
  <si>
    <t>ALIT</t>
  </si>
  <si>
    <t>Alight Inc. Class A Common Stock</t>
  </si>
  <si>
    <t>ALK</t>
  </si>
  <si>
    <t>Alaska Air Group Inc. Common Stock</t>
  </si>
  <si>
    <t>ALL</t>
  </si>
  <si>
    <t>Allstate Corporation (The) Common Stock</t>
  </si>
  <si>
    <t>ALL^B</t>
  </si>
  <si>
    <t>Allstate Corporation (The) 5.100% Fixed-to-Floating Rate Subordinated Debentures due 2053</t>
  </si>
  <si>
    <t>ALL^G</t>
  </si>
  <si>
    <t>Allstate Corporation (The) Depositary Shares each representing a 1/1000th interest in a share of Fixed Rate Noncumulative Perpetual Preferred Stock Series G</t>
  </si>
  <si>
    <t>ALL^H</t>
  </si>
  <si>
    <t>Allstate Corporation (The) Depositary Shares each representing a 1/1000th interest in a share of Fixed Rate Noncumulative Perpetual Preferred Stock Series H</t>
  </si>
  <si>
    <t>ALL^I</t>
  </si>
  <si>
    <t>Allstate Corporation (The) Depositary Shares each representing a 1/1000th interest in a share of Fixed Rate Noncumulative Perpetual Preferred Stock Series I</t>
  </si>
  <si>
    <t>ALLE</t>
  </si>
  <si>
    <t>Allegion plc Ordinary Shares</t>
  </si>
  <si>
    <t>ALLY</t>
  </si>
  <si>
    <t>Ally Financial Inc. Common Stock</t>
  </si>
  <si>
    <t>ALLY^A</t>
  </si>
  <si>
    <t>GMAC Capital Trust I Fixed Rate Floating Rate Trust Preferred Securities Series 2</t>
  </si>
  <si>
    <t>ALP^Q</t>
  </si>
  <si>
    <t>Alabama Power Company 5.00% Class A Preferred Stock Cumulative Par Value $1 Per Share (Stated Capital $25 Per Share)</t>
  </si>
  <si>
    <t>ALSN</t>
  </si>
  <si>
    <t>Allison Transmission Holdings Inc. Common Stock</t>
  </si>
  <si>
    <t>ALTG</t>
  </si>
  <si>
    <t>Alta Equipment Group Inc. Class A Common Stock</t>
  </si>
  <si>
    <t>ALTG^A</t>
  </si>
  <si>
    <t>Alta Equipment Group Inc. Depositary Shares (each representing 1/1000th in a share of 10% Series A Cumulative Perpetual Preferred Stock)</t>
  </si>
  <si>
    <t>ALV</t>
  </si>
  <si>
    <t>Autoliv Inc. Common Stock</t>
  </si>
  <si>
    <t>ALX</t>
  </si>
  <si>
    <t>Alexander's Inc. Common Stock</t>
  </si>
  <si>
    <t>AM</t>
  </si>
  <si>
    <t>Antero Midstream Corporation Common Stock</t>
  </si>
  <si>
    <t>AMAM</t>
  </si>
  <si>
    <t>Ambrx Biopharma Inc. American Depositary Shares (each representing seven Ordinary Shares)</t>
  </si>
  <si>
    <t>AMBC</t>
  </si>
  <si>
    <t>Ambac Financial Group Inc. Common Stock</t>
  </si>
  <si>
    <t>AMBP</t>
  </si>
  <si>
    <t>Ardagh Metal Packaging S.A. Ordinary Shares</t>
  </si>
  <si>
    <t>AMC</t>
  </si>
  <si>
    <t>AMC Entertainment Holdings Inc. Class A Common Stock</t>
  </si>
  <si>
    <t>AMCR</t>
  </si>
  <si>
    <t>Amcor plc Ordinary Shares</t>
  </si>
  <si>
    <t>AME</t>
  </si>
  <si>
    <t>AMETEK Inc.</t>
  </si>
  <si>
    <t>AMG</t>
  </si>
  <si>
    <t>Affiliated Managers Group Inc. Common Stock</t>
  </si>
  <si>
    <t>AMH</t>
  </si>
  <si>
    <t>American Homes 4 Rent Common Shares of Beneficial Interest</t>
  </si>
  <si>
    <t>AMH^F</t>
  </si>
  <si>
    <t>American Homes 4 Rent 5.875% Series F Cumulative Redeemable Perpetual Preferred Shares</t>
  </si>
  <si>
    <t>AMH^G</t>
  </si>
  <si>
    <t>American Homes 4 Rent Series G cumulative redeemable perpetual preferred shares of beneficial interest</t>
  </si>
  <si>
    <t>AMH^H</t>
  </si>
  <si>
    <t>American Homes 4 Rent Series H cumulative redeemable perpetual Preferred Shares of Beneficial Interest</t>
  </si>
  <si>
    <t>AMK</t>
  </si>
  <si>
    <t>AssetMark Financial Holdings Inc. Common Stock</t>
  </si>
  <si>
    <t>AMN</t>
  </si>
  <si>
    <t>AMN Healthcare Services Inc AMN Healthcare Services Inc</t>
  </si>
  <si>
    <t>AMOV</t>
  </si>
  <si>
    <t>America Movil S.A.B. de C.V. Class A American Depositary Shares</t>
  </si>
  <si>
    <t>AMP</t>
  </si>
  <si>
    <t>Ameriprise Financial Inc. Common Stock</t>
  </si>
  <si>
    <t>AMPI</t>
  </si>
  <si>
    <t>Advanced Merger Partners Inc. Class A Common Stock</t>
  </si>
  <si>
    <t>AMPY</t>
  </si>
  <si>
    <t>Amplify Energy Corp. Common Stock</t>
  </si>
  <si>
    <t>AMR</t>
  </si>
  <si>
    <t>Alpha Metallurgical Resources Inc. Common Stock</t>
  </si>
  <si>
    <t>AMRC</t>
  </si>
  <si>
    <t>Ameresco Inc. Class A Common Stock</t>
  </si>
  <si>
    <t>AMRX</t>
  </si>
  <si>
    <t>Amneal Pharmaceuticals Inc. Class A Common Stock</t>
  </si>
  <si>
    <t>AMT</t>
  </si>
  <si>
    <t>American Tower Corporation (REIT) Common Stock</t>
  </si>
  <si>
    <t>AMWL</t>
  </si>
  <si>
    <t>American Well Corporation Class A Common Stock</t>
  </si>
  <si>
    <t>AMX</t>
  </si>
  <si>
    <t>America Movil S.A.B. de C.V. American Depository Receipt Series L</t>
  </si>
  <si>
    <t>AN</t>
  </si>
  <si>
    <t>AutoNation Inc. Common Stock</t>
  </si>
  <si>
    <t>ANAC</t>
  </si>
  <si>
    <t>Arctos NorthStar Acquisition Corp. Class A Ordinary Shares</t>
  </si>
  <si>
    <t>ANET</t>
  </si>
  <si>
    <t>Arista Networks Inc. Common Stock</t>
  </si>
  <si>
    <t>ANF</t>
  </si>
  <si>
    <t>Abercrombie &amp; Fitch Company Common Stock</t>
  </si>
  <si>
    <t>ANTM</t>
  </si>
  <si>
    <t>Anthem Inc. Common Stock</t>
  </si>
  <si>
    <t>AOD</t>
  </si>
  <si>
    <t>Aberdeen Total Dynamic Dividend Fund Common Stock</t>
  </si>
  <si>
    <t>AOMR</t>
  </si>
  <si>
    <t>Angel Oak Mortgage Inc. Common Stock</t>
  </si>
  <si>
    <t>AON</t>
  </si>
  <si>
    <t>Aon plc Class A Ordinary Shares (Ireland)</t>
  </si>
  <si>
    <t>AOS</t>
  </si>
  <si>
    <t>A.O. Smith Corporation Common Stock</t>
  </si>
  <si>
    <t>AP</t>
  </si>
  <si>
    <t>Ampco-Pittsburgh Corporation Common Stock</t>
  </si>
  <si>
    <t>APAM</t>
  </si>
  <si>
    <t>Artisan Partners Asset Management Inc. Class A Common Stock</t>
  </si>
  <si>
    <t>APD</t>
  </si>
  <si>
    <t>Air Products and Chemicals Inc. Common Stock</t>
  </si>
  <si>
    <t>APG</t>
  </si>
  <si>
    <t>APi Group Corporation Common Stock</t>
  </si>
  <si>
    <t>APGB</t>
  </si>
  <si>
    <t>Apollo Strategic Growth Capital II Class A Ordinary Shares</t>
  </si>
  <si>
    <t>APH</t>
  </si>
  <si>
    <t>Amphenol Corporation Common Stock</t>
  </si>
  <si>
    <t>APLE</t>
  </si>
  <si>
    <t>Apple Hospitality REIT Inc. Common Shares</t>
  </si>
  <si>
    <t>APO</t>
  </si>
  <si>
    <t>Apollo Global Management Inc. Class A Common Stock</t>
  </si>
  <si>
    <t>APO^A</t>
  </si>
  <si>
    <t>Apollo Global Management Inc. 6.375% Series A Preferred Shares</t>
  </si>
  <si>
    <t>APO^B</t>
  </si>
  <si>
    <t>Apollo Global Management Inc 6.375% Series B Preferred Shares</t>
  </si>
  <si>
    <t>APRN</t>
  </si>
  <si>
    <t>Blue Apron Holdings Inc. Class A Common Stock</t>
  </si>
  <si>
    <t>APSG</t>
  </si>
  <si>
    <t>Apollo Strategic Growth Capital Class A Ordinary Shares</t>
  </si>
  <si>
    <t>APTS</t>
  </si>
  <si>
    <t>Preferred Apartment Communities Inc. Common Stock</t>
  </si>
  <si>
    <t>APTV</t>
  </si>
  <si>
    <t>Aptiv PLC Ordinary Shares</t>
  </si>
  <si>
    <t>APTV^A</t>
  </si>
  <si>
    <t>Aptiv PLC 5.50% Series A Mandatory Convertible Preferred Shares</t>
  </si>
  <si>
    <t>AQN</t>
  </si>
  <si>
    <t>Algonquin Power &amp; Utilities Corp. Common Shares</t>
  </si>
  <si>
    <t>AQNA</t>
  </si>
  <si>
    <t>Algonquin Power &amp; Utilities Corp. 6.875% Fixed-to-Floating Rate Subordinated Notes Series 2018-A due October 17 2078</t>
  </si>
  <si>
    <t>AQNB</t>
  </si>
  <si>
    <t>Algonquin Power &amp; Utilities Corp. 6.20% Fixed-to-Floating Subordinated Notes Series 2019-A due July 1 2079</t>
  </si>
  <si>
    <t>AQNU</t>
  </si>
  <si>
    <t>Algonquin Power &amp; Utilities Corp. Corporate Units</t>
  </si>
  <si>
    <t>AQUA</t>
  </si>
  <si>
    <t>Evoqua Water Technologies Corp. Common Stock</t>
  </si>
  <si>
    <t>AR</t>
  </si>
  <si>
    <t>Antero Resources Corporation Common Stock</t>
  </si>
  <si>
    <t>ARC</t>
  </si>
  <si>
    <t>ARC Document Solutions Inc. Common Stock</t>
  </si>
  <si>
    <t>ARCH</t>
  </si>
  <si>
    <t>Arch Resources Inc. Class A Common Stock</t>
  </si>
  <si>
    <t>ARCO</t>
  </si>
  <si>
    <t>Arcos Dorados Holdings Inc. Class A Shares</t>
  </si>
  <si>
    <t>ARD</t>
  </si>
  <si>
    <t>Ardagh Group S.A. Common Shares</t>
  </si>
  <si>
    <t>ARDC</t>
  </si>
  <si>
    <t>Ares Dynamic Credit Allocation Fund Inc. Common Shares</t>
  </si>
  <si>
    <t>ARE</t>
  </si>
  <si>
    <t>Alexandria Real Estate Equities Inc. Common Stock</t>
  </si>
  <si>
    <t>ARES</t>
  </si>
  <si>
    <t>Ares Management Corporation Class A Common Stock</t>
  </si>
  <si>
    <t>ARGD</t>
  </si>
  <si>
    <t>Argo Group International Holdings Ltd. 6.5% Senior Notes Due 2042</t>
  </si>
  <si>
    <t>ARGO</t>
  </si>
  <si>
    <t>Argo Group International Holdings Ltd.</t>
  </si>
  <si>
    <t>ARGO^A</t>
  </si>
  <si>
    <t>Argo Group International Holdings Ltd. Depositary Shares Each Representing a 1/1000th Interest in a 7.00% Resettable Fixed Rate Preference Share Series A</t>
  </si>
  <si>
    <t>ARI</t>
  </si>
  <si>
    <t>Apollo Commercial Real Estate Finance Inc</t>
  </si>
  <si>
    <t>ARL</t>
  </si>
  <si>
    <t>American Realty Investors Inc. Common Stock</t>
  </si>
  <si>
    <t>ARLO</t>
  </si>
  <si>
    <t>Arlo Technologies Inc. Common Stock</t>
  </si>
  <si>
    <t>ARMK</t>
  </si>
  <si>
    <t>Aramark Common Stock</t>
  </si>
  <si>
    <t>ARNC</t>
  </si>
  <si>
    <t>Arconic Corporation Common Stock</t>
  </si>
  <si>
    <t>AROC</t>
  </si>
  <si>
    <t>Archrock Inc. Common Stock</t>
  </si>
  <si>
    <t>ARR</t>
  </si>
  <si>
    <t>ARMOUR Residential REIT Inc.</t>
  </si>
  <si>
    <t>ARR^C</t>
  </si>
  <si>
    <t>ARMOUR Residential REIT Inc. 7% Series C Cumulative Redeemable Preferred Stock (liquidation preference $25.00 per share)</t>
  </si>
  <si>
    <t>ARW</t>
  </si>
  <si>
    <t>Arrow Electronics Inc. Common Stock</t>
  </si>
  <si>
    <t>ASA</t>
  </si>
  <si>
    <t>ASA  Gold and Precious Metals Limited</t>
  </si>
  <si>
    <t>ASAI</t>
  </si>
  <si>
    <t>Sendas Distribuidora S.A. ADS</t>
  </si>
  <si>
    <t>ASAN</t>
  </si>
  <si>
    <t>Asana Inc. Class A Common Stock</t>
  </si>
  <si>
    <t>ASAQ</t>
  </si>
  <si>
    <t>Atlantic Street Acquisition Corp Class A Common Stock</t>
  </si>
  <si>
    <t>ASB</t>
  </si>
  <si>
    <t>Associated Banc-Corp Common Stock</t>
  </si>
  <si>
    <t>ASB^D</t>
  </si>
  <si>
    <t>Associated Banc-Corp Depositary Shares each representing a 1/40th interest in a share of Associated Banc-Corp 5.375% Non-Cumulative Perpetual Preferred Stock Series D</t>
  </si>
  <si>
    <t>ASB^E</t>
  </si>
  <si>
    <t>Associated Banc-Corp Depositary Shares each representing a 1/40th interest in a share of 5.875% Non-Cumulative Perpetual Preferred Stock Series E</t>
  </si>
  <si>
    <t>ASB^F</t>
  </si>
  <si>
    <t>Associated Banc-Corp Depositary Shares each representing a 1/40th interest in a share of Associated Banc-Corp 5.625% Non-Cumulative Perpetual Preferred Stock Series F</t>
  </si>
  <si>
    <t>ASC</t>
  </si>
  <si>
    <t>Ardmore Shipping Corporation Common Stock</t>
  </si>
  <si>
    <t>ASG</t>
  </si>
  <si>
    <t>Liberty All-Star Growth Fund Inc.</t>
  </si>
  <si>
    <t>ASGI</t>
  </si>
  <si>
    <t>Aberdeen Standard Global Infrastructure Income Fund Common Shares of Beneficial Interest</t>
  </si>
  <si>
    <t>ASGN</t>
  </si>
  <si>
    <t>ASGN Incorporated Common Stock</t>
  </si>
  <si>
    <t>ASH</t>
  </si>
  <si>
    <t>Ashland Global Holdings Inc. Common Stock</t>
  </si>
  <si>
    <t>ASIX</t>
  </si>
  <si>
    <t>AdvanSix Inc. Common Stock</t>
  </si>
  <si>
    <t>ASPN</t>
  </si>
  <si>
    <t>Aspen Aerogels Inc. Common Stock</t>
  </si>
  <si>
    <t>ASR</t>
  </si>
  <si>
    <t>Grupo Aeroportuario del Sureste S.A. de C.V. Common Stock</t>
  </si>
  <si>
    <t>ASX</t>
  </si>
  <si>
    <t>ASE Technology Holding Co. Ltd. American Depositary Shares (each representing Two Common Shares)</t>
  </si>
  <si>
    <t>ASZ</t>
  </si>
  <si>
    <t>Austerlitz Acquisition Corporation II Class A Ordinary Shares</t>
  </si>
  <si>
    <t>ATA</t>
  </si>
  <si>
    <t>Americas Technology Acquisition Corp. Ordinary Shares</t>
  </si>
  <si>
    <t>ATAQ</t>
  </si>
  <si>
    <t>Altimar Acquisition Corp. III Class A Ordinary Shares</t>
  </si>
  <si>
    <t>ATC</t>
  </si>
  <si>
    <t>Atotech Limited Common Shares</t>
  </si>
  <si>
    <t>ATCO</t>
  </si>
  <si>
    <t>Atlas Corp. Common Shares</t>
  </si>
  <si>
    <t>ATCO^D</t>
  </si>
  <si>
    <t>Atlas Corp. 7.95% Series D</t>
  </si>
  <si>
    <t>ATCO^H</t>
  </si>
  <si>
    <t>Atlas Corp. 7.875% Series H</t>
  </si>
  <si>
    <t>ATCO^I</t>
  </si>
  <si>
    <t>Atlas Corp. Series I Fixed-to-Floating</t>
  </si>
  <si>
    <t>ATEN</t>
  </si>
  <si>
    <t>A10 Networks Inc. Common Stock</t>
  </si>
  <si>
    <t>ATGE</t>
  </si>
  <si>
    <t>Adtalem Global Education Inc. Common Stock</t>
  </si>
  <si>
    <t>ATH</t>
  </si>
  <si>
    <t>Athene Holding Ltd. Class A Common Shares</t>
  </si>
  <si>
    <t>ATH^A</t>
  </si>
  <si>
    <t>Athene Holding Ltd. Depositary Shares Each Representing a 1/1000th Interest in a 6.35% Fixed-to-Floating Rate Perpetual Non-Cumulative Preference Share Series A</t>
  </si>
  <si>
    <t>ATH^B</t>
  </si>
  <si>
    <t>Athene Holding Ltd. Depositary Shares Each Representing a 1/1000th Interest in a 5.625% Fixed Rate Perpetual Non- Cumulative Preference Share Series B par value $1.00 per share</t>
  </si>
  <si>
    <t>ATH^C</t>
  </si>
  <si>
    <t>Athene Holding Ltd. Depositary Shares each representing a 1/1000th Interest in a Share of 6.375% Fixed-Rate Reset Perpetual Non-Cumulative Preference Shares Series C</t>
  </si>
  <si>
    <t>ATH^D</t>
  </si>
  <si>
    <t>Athene Holding Ltd. Depositary Shares Each Representing a 1/1000th Interest in a 4.875% Fixed-Rate Perpetual Non-Cumulative Preference Share Series D</t>
  </si>
  <si>
    <t>ATHM</t>
  </si>
  <si>
    <t>Autohome Inc. American Depositary Shares each representing four class A ordinary shares.</t>
  </si>
  <si>
    <t>ATHN</t>
  </si>
  <si>
    <t>Athena Technology Acquisition Corp. Class A Common Stock</t>
  </si>
  <si>
    <t>ATI</t>
  </si>
  <si>
    <t>Allegheny Technologies Incorporated Common Stock</t>
  </si>
  <si>
    <t>ATIP</t>
  </si>
  <si>
    <t>ATI Physical Therapy Inc. Class A Common Stock</t>
  </si>
  <si>
    <t>ATKR</t>
  </si>
  <si>
    <t>Atkore Inc. Common Stock</t>
  </si>
  <si>
    <t>ATMR</t>
  </si>
  <si>
    <t>Altimar Acquisition Corp. II Class A Ordinary Shares</t>
  </si>
  <si>
    <t>ATO</t>
  </si>
  <si>
    <t>Atmos Energy Corporation Common Stock</t>
  </si>
  <si>
    <t>ATR</t>
  </si>
  <si>
    <t>AptarGroup Inc. Common Stock</t>
  </si>
  <si>
    <t>ATTO</t>
  </si>
  <si>
    <t>Atento S.A. Ordinary Shares</t>
  </si>
  <si>
    <t>ATUS</t>
  </si>
  <si>
    <t>Altice USA Inc. Class A Common Stock</t>
  </si>
  <si>
    <t>AU</t>
  </si>
  <si>
    <t>AngloGold Ashanti Limited Common Stock</t>
  </si>
  <si>
    <t>AUD</t>
  </si>
  <si>
    <t>Audacy Common Stock</t>
  </si>
  <si>
    <t>AUS</t>
  </si>
  <si>
    <t>Austerlitz Acquisition Corporation I Class A Ordinary Shares</t>
  </si>
  <si>
    <t>AUY</t>
  </si>
  <si>
    <t>Yamana Gold Inc. Ordinary Shares (Canada)</t>
  </si>
  <si>
    <t>AVA</t>
  </si>
  <si>
    <t>Avista Corporation Common Stock</t>
  </si>
  <si>
    <t>AVAL</t>
  </si>
  <si>
    <t>Grupo Aval Acciones y Valores S.A. ADR (Each representing 20 preferred shares)</t>
  </si>
  <si>
    <t>AVAN</t>
  </si>
  <si>
    <t>Avanti Acquisition Corp. Class A Ordinary Shares</t>
  </si>
  <si>
    <t>AVB</t>
  </si>
  <si>
    <t>AvalonBay Communities Inc. Common Stock</t>
  </si>
  <si>
    <t>AVD</t>
  </si>
  <si>
    <t>American Vanguard Corporation Common Stock ($0.10 Par Value)</t>
  </si>
  <si>
    <t>AVK</t>
  </si>
  <si>
    <t>Advent Convertible and Income Fund</t>
  </si>
  <si>
    <t>AVLR</t>
  </si>
  <si>
    <t>Avalara Inc. Common Stock</t>
  </si>
  <si>
    <t>AVNS</t>
  </si>
  <si>
    <t>Avanos Medical Inc. Common Stock</t>
  </si>
  <si>
    <t>AVNT</t>
  </si>
  <si>
    <t>Avient Corporation Common Stock</t>
  </si>
  <si>
    <t>AVTR</t>
  </si>
  <si>
    <t>Avantor Inc. Common Stock</t>
  </si>
  <si>
    <t>AVTR^A</t>
  </si>
  <si>
    <t>Avantor Inc. Series A Mandatory Convertible Preferred Stock</t>
  </si>
  <si>
    <t>AVY</t>
  </si>
  <si>
    <t>Avery Dennison Corporation Common Stock</t>
  </si>
  <si>
    <t>AVYA</t>
  </si>
  <si>
    <t>Avaya Holdings Corp. Common Stock</t>
  </si>
  <si>
    <t>AWF</t>
  </si>
  <si>
    <t>Alliancebernstein Global High Income Fund</t>
  </si>
  <si>
    <t>AWI</t>
  </si>
  <si>
    <t>Armstrong World Industries Inc Common Stock</t>
  </si>
  <si>
    <t>AWK</t>
  </si>
  <si>
    <t>American Water Works Company Inc. Common Stock</t>
  </si>
  <si>
    <t>AWP</t>
  </si>
  <si>
    <t>Aberdeen Global Premier Properties Fund Common Shares of Beneficial Interest</t>
  </si>
  <si>
    <t>AWR</t>
  </si>
  <si>
    <t>American States Water Company Common Stock</t>
  </si>
  <si>
    <t>AX</t>
  </si>
  <si>
    <t>Axos Financial Inc. Common Stock</t>
  </si>
  <si>
    <t>AXL</t>
  </si>
  <si>
    <t>American Axle &amp; Manufacturing Holdings Inc. Common Stock</t>
  </si>
  <si>
    <t>AXP</t>
  </si>
  <si>
    <t>American Express Company Common Stock</t>
  </si>
  <si>
    <t>AXR</t>
  </si>
  <si>
    <t>AMREP Corporation Common Stock</t>
  </si>
  <si>
    <t>AXS</t>
  </si>
  <si>
    <t>Axis Capital Holdings Limited Common Stock</t>
  </si>
  <si>
    <t>AXS^E</t>
  </si>
  <si>
    <t>Axis Capital Holdings Limited Depositary Shares each representing 1/100th interest in a share of a 5.50% Series E Preferred Shares</t>
  </si>
  <si>
    <t>AXTA</t>
  </si>
  <si>
    <t>Axalta Coating Systems Ltd. Common Shares</t>
  </si>
  <si>
    <t>AYI</t>
  </si>
  <si>
    <t>Acuity Brands Inc.</t>
  </si>
  <si>
    <t>AYX</t>
  </si>
  <si>
    <t>Alteryx Inc. Class A Common Stock</t>
  </si>
  <si>
    <t>AZEK</t>
  </si>
  <si>
    <t>The AZEK Company Inc. Class A Common Stock</t>
  </si>
  <si>
    <t>AZO</t>
  </si>
  <si>
    <t>AutoZone Inc. Common Stock</t>
  </si>
  <si>
    <t>AZRE</t>
  </si>
  <si>
    <t>Azure Power Global Limited Equity Shares</t>
  </si>
  <si>
    <t>AZUL</t>
  </si>
  <si>
    <t>Azul S.A. American Depositary Shares (each representing three preferred shares)</t>
  </si>
  <si>
    <t>AZZ</t>
  </si>
  <si>
    <t>AZZ Inc.</t>
  </si>
  <si>
    <t>B</t>
  </si>
  <si>
    <t>Barnes Group Inc. Common Stock</t>
  </si>
  <si>
    <t>BA</t>
  </si>
  <si>
    <t>Boeing Company (The) Common Stock</t>
  </si>
  <si>
    <t>BABA</t>
  </si>
  <si>
    <t>Alibaba Group Holding Limited American Depositary Shares each representing eight Ordinary share</t>
  </si>
  <si>
    <t>BAC</t>
  </si>
  <si>
    <t>Bank of America Corporation Common Stock</t>
  </si>
  <si>
    <t>BAC^B</t>
  </si>
  <si>
    <t>Bank of America Corporation Depositary Shares each representing a 1/1000th interest in a share of 6.000% Non-Cumulative Preferred Stock Series GG</t>
  </si>
  <si>
    <t>BAC^E</t>
  </si>
  <si>
    <t>Bank of America Corporation Depositary Sh repstg 1/1000th Perp Pfd Ser E</t>
  </si>
  <si>
    <t>BAC^K</t>
  </si>
  <si>
    <t>Bank of America Corporation Depositary Shares each representing a 1/1000th interest in a share of 5.875% Non- Cumulative Preferred Stock Series HH</t>
  </si>
  <si>
    <t>BAC^L</t>
  </si>
  <si>
    <t>Bank of America Corporation Non Cumulative Perpetual Conv Pfd Ser L</t>
  </si>
  <si>
    <t>BAC^M</t>
  </si>
  <si>
    <t>Bank of America Corporation Depositary Shares each representing a 1/1000th interest in a share of 5.375% Non-Cumulative Preferred Stock Series KK</t>
  </si>
  <si>
    <t>BAC^N</t>
  </si>
  <si>
    <t>Bank of America Corporation Depositary shares each representing 1/1000th interest in a share of 5.000% Non-Cumulative Preferred Stock Series LL</t>
  </si>
  <si>
    <t>BAC^O</t>
  </si>
  <si>
    <t>Bank of America Corporation Depositary shares each representing 1/1000th interest in a share of 4.375% Non-Cumulative Preferred Stock Series NN</t>
  </si>
  <si>
    <t>BAC^P</t>
  </si>
  <si>
    <t>Bank of America Corporation Depositary Shares each representing a 1/1000th interest in a share of 4.125% Non-Cumulative Preferred Stock Series PP</t>
  </si>
  <si>
    <t>BAH</t>
  </si>
  <si>
    <t>Booz Allen Hamilton Holding Corporation Common Stock</t>
  </si>
  <si>
    <t>BAK</t>
  </si>
  <si>
    <t>Braskem SA ADR</t>
  </si>
  <si>
    <t>BALY</t>
  </si>
  <si>
    <t>Bally's Corporation Common Stock</t>
  </si>
  <si>
    <t>BAM</t>
  </si>
  <si>
    <t>Brookfield Asset Management Inc. Common Stock</t>
  </si>
  <si>
    <t>BAMH</t>
  </si>
  <si>
    <t>Brookfield Finance Inc. 4.625% Subordinated Notes due October 16 2080</t>
  </si>
  <si>
    <t>BAMI</t>
  </si>
  <si>
    <t>Brookfield Finance Inc. 4.50% Perpetual Subordinated Notes</t>
  </si>
  <si>
    <t>BAMR</t>
  </si>
  <si>
    <t>Brookfield Asset Management Reinsurance Partners Ltd. Class A Exchangeable Limited Voting Shares</t>
  </si>
  <si>
    <t>BANC</t>
  </si>
  <si>
    <t>Banc of California Inc. Common Stock</t>
  </si>
  <si>
    <t>BANC^E</t>
  </si>
  <si>
    <t>Banc of California Inc. Depositary Shares Each Representing a 1/40th Interest in a Share of 7.000% Non-Cumulative Perpetual Preferred Stock Series E</t>
  </si>
  <si>
    <t>BAP</t>
  </si>
  <si>
    <t>Credicorp Ltd. Common Stock</t>
  </si>
  <si>
    <t>BARK</t>
  </si>
  <si>
    <t>The Original BARK Company Common Stock</t>
  </si>
  <si>
    <t>BAX</t>
  </si>
  <si>
    <t>Baxter International Inc. Common Stock</t>
  </si>
  <si>
    <t>BB</t>
  </si>
  <si>
    <t>BlackBerry Limited Common Stock</t>
  </si>
  <si>
    <t>BBAR</t>
  </si>
  <si>
    <t>Banco BBVA Argentina S.A. ADS</t>
  </si>
  <si>
    <t>BBD</t>
  </si>
  <si>
    <t>Banco Bradesco Sa American Depositary Shares</t>
  </si>
  <si>
    <t>BBDC</t>
  </si>
  <si>
    <t>Barings BDC Inc. Common Stock</t>
  </si>
  <si>
    <t>BBDO</t>
  </si>
  <si>
    <t>Banco Bradesco Sa American Depositary Shares (each representing one Common Share)</t>
  </si>
  <si>
    <t>BBL</t>
  </si>
  <si>
    <t>BHP Group PlcSponsored ADR</t>
  </si>
  <si>
    <t>BBN</t>
  </si>
  <si>
    <t>BlackRock Taxable Municipal Bond Trust Common Shares of Beneficial Interest</t>
  </si>
  <si>
    <t>BBU</t>
  </si>
  <si>
    <t>Brookfield Business Partners L.P. Limited Partnership Units</t>
  </si>
  <si>
    <t>BBVA</t>
  </si>
  <si>
    <t>Banco Bilbao Vizcaya Argentaria S.A. Common Stock</t>
  </si>
  <si>
    <t>BBW</t>
  </si>
  <si>
    <t>Build-A-Bear Workshop Inc. Common Stock</t>
  </si>
  <si>
    <t>BBWI</t>
  </si>
  <si>
    <t>Bath &amp; Body Works Inc.</t>
  </si>
  <si>
    <t>BBY</t>
  </si>
  <si>
    <t>Best Buy Co. Inc. Common Stock</t>
  </si>
  <si>
    <t>BC</t>
  </si>
  <si>
    <t>Brunswick Corporation Common Stock</t>
  </si>
  <si>
    <t>BC^A</t>
  </si>
  <si>
    <t>Brunswick Corporation 6.500% Senior Notes due 2048</t>
  </si>
  <si>
    <t>BC^B</t>
  </si>
  <si>
    <t>Brunswick Corporation 6.625% Senior Notes due 2049</t>
  </si>
  <si>
    <t>BC^C</t>
  </si>
  <si>
    <t>Brunswick Corporation 6.375% Notes due 2049</t>
  </si>
  <si>
    <t>BCAT</t>
  </si>
  <si>
    <t>BlackRock Capital Allocation Trust Common Shares of Beneficial Interest</t>
  </si>
  <si>
    <t>BCC</t>
  </si>
  <si>
    <t>Boise Cascade L.L.C. Common Stock</t>
  </si>
  <si>
    <t>BCE</t>
  </si>
  <si>
    <t>BCE Inc. Common Stock</t>
  </si>
  <si>
    <t>BCEI</t>
  </si>
  <si>
    <t>Bonanza Creek Energy Inc. Common Stock</t>
  </si>
  <si>
    <t>BCH</t>
  </si>
  <si>
    <t>Banco De Chile Banco De Chile ADS</t>
  </si>
  <si>
    <t>BCO</t>
  </si>
  <si>
    <t>Brinks Company (The) Common Stock</t>
  </si>
  <si>
    <t>BCS</t>
  </si>
  <si>
    <t>Barclays PLC Common Stock</t>
  </si>
  <si>
    <t>BCSF</t>
  </si>
  <si>
    <t>Bain Capital Specialty Finance Inc. Common Stock</t>
  </si>
  <si>
    <t>BCX</t>
  </si>
  <si>
    <t>BlackRock Resources Common Shares of Beneficial Interest</t>
  </si>
  <si>
    <t>BDC</t>
  </si>
  <si>
    <t>Belden Inc Common Stock</t>
  </si>
  <si>
    <t>BDJ</t>
  </si>
  <si>
    <t>Blackrock Enhanced Equity Dividend Trust</t>
  </si>
  <si>
    <t>BDN</t>
  </si>
  <si>
    <t>Brandywine Realty Trust Common Stock</t>
  </si>
  <si>
    <t>BDX</t>
  </si>
  <si>
    <t>Becton Dickinson and Company Common Stock</t>
  </si>
  <si>
    <t>BDXB</t>
  </si>
  <si>
    <t>Becton Dickinson and Company Depositary Shares each Representing a 1/20th Interest in a Share of 6.00% Mandatory Convertible Preferred Stock Series B</t>
  </si>
  <si>
    <t>BE</t>
  </si>
  <si>
    <t>Bloom Energy Corporation Class A Common Stock</t>
  </si>
  <si>
    <t>BEDU</t>
  </si>
  <si>
    <t>Bright Scholar Education Holdings Limited American Depositary Shares each  representing one Class A Ordinary Share</t>
  </si>
  <si>
    <t>BEKE</t>
  </si>
  <si>
    <t>KE Holdings Inc American Depositary Shares (each representing three Class A Ordinary Shares)</t>
  </si>
  <si>
    <t>BEN</t>
  </si>
  <si>
    <t>Franklin Resources Inc. Common Stock</t>
  </si>
  <si>
    <t>BEP</t>
  </si>
  <si>
    <t>Brookfield Renewable Partners L.P.</t>
  </si>
  <si>
    <t>BEP^A</t>
  </si>
  <si>
    <t>Brookfield Renewable Partners L.P. 5.25% Class A Preferred Limited Partnership Units Series 17</t>
  </si>
  <si>
    <t>BEPC</t>
  </si>
  <si>
    <t>Brookfield Renewable Corporation Class A Subordinate Voting Shares</t>
  </si>
  <si>
    <t>BEPH</t>
  </si>
  <si>
    <t>Brookfield BRP Holdings (Canada) Inc. 4.625% Perpetual Subordinated Notes</t>
  </si>
  <si>
    <t>BERY</t>
  </si>
  <si>
    <t>Berry Global Group Inc. Common Stock</t>
  </si>
  <si>
    <t>BEST</t>
  </si>
  <si>
    <t>BEST Inc. American Depositary Shares each representing one Class A Ordinary Share</t>
  </si>
  <si>
    <t>BF/A</t>
  </si>
  <si>
    <t>Brown Forman Corporation</t>
  </si>
  <si>
    <t>BF/B</t>
  </si>
  <si>
    <t>BFAM</t>
  </si>
  <si>
    <t>Bright Horizons Family Solutions Inc. Common Stock</t>
  </si>
  <si>
    <t>BFK</t>
  </si>
  <si>
    <t>BlackRock Municipal Income Trust</t>
  </si>
  <si>
    <t>BFLY</t>
  </si>
  <si>
    <t>Butterfly Network Inc. Class A Common Stock</t>
  </si>
  <si>
    <t>BFS</t>
  </si>
  <si>
    <t>Saul Centers Inc. Common Stock</t>
  </si>
  <si>
    <t>BFS^D</t>
  </si>
  <si>
    <t>Saul Centers Inc. Depositary Shares each representing 1/100th of a share of 6.125% Series D Cumulative Redeemable Preferred Stock</t>
  </si>
  <si>
    <t>BFS^E</t>
  </si>
  <si>
    <t>Saul Centers Inc. Depositary shares each representing a 1/100th fractional interest in a share of 6.000% Series E Cumulative Redeemable Preferred Stock</t>
  </si>
  <si>
    <t>BFZ</t>
  </si>
  <si>
    <t>BlackRock California Municipal Income Trust</t>
  </si>
  <si>
    <t>BG</t>
  </si>
  <si>
    <t>Bunge Limited Bunge Limited</t>
  </si>
  <si>
    <t>BGB</t>
  </si>
  <si>
    <t>Blackstone Strategic Credit Fund Common Shares</t>
  </si>
  <si>
    <t>BGH</t>
  </si>
  <si>
    <t>Barings Global Short Duration High Yield Fund Common Shares of Beneficial Interests</t>
  </si>
  <si>
    <t>BGIO</t>
  </si>
  <si>
    <t>BlackRock 2022 Global Income Opportunity Trust Common Shares of Beneficial Interest</t>
  </si>
  <si>
    <t>BGR</t>
  </si>
  <si>
    <t>BlackRock Energy and Resources Trust</t>
  </si>
  <si>
    <t>BGS</t>
  </si>
  <si>
    <t>B&amp;G Foods Inc. B&amp;G Foods Inc. Common Stock</t>
  </si>
  <si>
    <t>BGSF</t>
  </si>
  <si>
    <t>BGSF Inc. Common Stock</t>
  </si>
  <si>
    <t>BGSX</t>
  </si>
  <si>
    <t>Build Acquisition Corp. Class A Common Stock</t>
  </si>
  <si>
    <t>BGT</t>
  </si>
  <si>
    <t>BlackRock Floating Rate Income Trust</t>
  </si>
  <si>
    <t>BGX</t>
  </si>
  <si>
    <t>Blackstone Long Short Credit Income Fund Common Shares</t>
  </si>
  <si>
    <t>BGY</t>
  </si>
  <si>
    <t>Blackrock Enhanced International Dividend Trust</t>
  </si>
  <si>
    <t>BH</t>
  </si>
  <si>
    <t>Biglari Holdings Inc. Class B Common Stock</t>
  </si>
  <si>
    <t>BHC</t>
  </si>
  <si>
    <t>Bausch Health Companies Inc. Common Stock</t>
  </si>
  <si>
    <t>BHE</t>
  </si>
  <si>
    <t>Benchmark Electronics Inc. Common Stock</t>
  </si>
  <si>
    <t>BHG</t>
  </si>
  <si>
    <t>Bright Health Group Inc. Common Stock</t>
  </si>
  <si>
    <t>BHK</t>
  </si>
  <si>
    <t>Blackrock Core Bond Trust Blackrock Core Bond Trust</t>
  </si>
  <si>
    <t>BHLB</t>
  </si>
  <si>
    <t>Berkshire Hills Bancorp Inc. Common Stock</t>
  </si>
  <si>
    <t>BHP</t>
  </si>
  <si>
    <t>BHP Group Limited American Depositary Shares (Each representing two Ordinary Shares)</t>
  </si>
  <si>
    <t>BHR</t>
  </si>
  <si>
    <t>Braemar Hotels &amp; Resorts Inc. Common Stock</t>
  </si>
  <si>
    <t>BHR^B</t>
  </si>
  <si>
    <t>Braemar Hotels &amp; Resorts Inc. 5.50% Series B Cumulative Convertible Preferred Stock par value $0.01 per share</t>
  </si>
  <si>
    <t>BHR^D</t>
  </si>
  <si>
    <t>Braemar Hotels &amp; Resorts Inc. 8.25% Series D Cumulative Preferred Stock  par value $0.01 per share</t>
  </si>
  <si>
    <t>BHV</t>
  </si>
  <si>
    <t>BlackRock Virginia Municipal Bond Trust</t>
  </si>
  <si>
    <t>BHVN</t>
  </si>
  <si>
    <t>Biohaven Pharmaceutical Holding Company Ltd. Common Shares</t>
  </si>
  <si>
    <t>BIF</t>
  </si>
  <si>
    <t>Boulder Growth &amp; Income Fund Inc.</t>
  </si>
  <si>
    <t>BIG</t>
  </si>
  <si>
    <t>Big Lots Inc. Common Stock</t>
  </si>
  <si>
    <t>BIGZ</t>
  </si>
  <si>
    <t>BlackRock Innovation and Growth Trust Common Shares of Beneficial Interest</t>
  </si>
  <si>
    <t>BILL</t>
  </si>
  <si>
    <t>Bill.com Holdings Inc. Common Stock</t>
  </si>
  <si>
    <t>BIO</t>
  </si>
  <si>
    <t>Bio-Rad Laboratories Inc. Class A Common Stock</t>
  </si>
  <si>
    <t>BIO/B</t>
  </si>
  <si>
    <t>Bio-Rad Laboratories Inc.</t>
  </si>
  <si>
    <t>BIP</t>
  </si>
  <si>
    <t>Brookfield Infrastructure Partners LP Limited Partnership Units</t>
  </si>
  <si>
    <t>BIP^A</t>
  </si>
  <si>
    <t>Brookfield Infrastructure Partners LP 5.125% Class A Preferred Limited Partnership Units Series 13</t>
  </si>
  <si>
    <t>BIP^B</t>
  </si>
  <si>
    <t>Brookfield Infrastructure Partners LP 5.000% Class A Preferred Limited Partnership Units Series 14</t>
  </si>
  <si>
    <t>BIPC</t>
  </si>
  <si>
    <t>Brookfield Infrastructure Partners LP Class A Subordinate Voting Shares</t>
  </si>
  <si>
    <t>BIPH</t>
  </si>
  <si>
    <t>Brookfield Infrastructure Corporation 5.000% Subordinated Notes due 2081</t>
  </si>
  <si>
    <t>BIT</t>
  </si>
  <si>
    <t>BlackRock Multi-Sector Income Trust Common Shares of Beneficial Interest</t>
  </si>
  <si>
    <t>BITE</t>
  </si>
  <si>
    <t>Bite Acquisition Corp. Common Stock</t>
  </si>
  <si>
    <t>BJ</t>
  </si>
  <si>
    <t>BJ's Wholesale Club Holdings Inc. Common Stock</t>
  </si>
  <si>
    <t>BK</t>
  </si>
  <si>
    <t>The Bank of New York Mellon Corporation Common Stock</t>
  </si>
  <si>
    <t>BKD</t>
  </si>
  <si>
    <t>Brookdale Senior Living Inc. Common Stock</t>
  </si>
  <si>
    <t>BKE</t>
  </si>
  <si>
    <t>Buckle Inc. (The) Common Stock</t>
  </si>
  <si>
    <t>BKH</t>
  </si>
  <si>
    <t>Black Hills Corporation Common Stock</t>
  </si>
  <si>
    <t>BKI</t>
  </si>
  <si>
    <t>Black Knight Inc. Common Stock</t>
  </si>
  <si>
    <t>BKN</t>
  </si>
  <si>
    <t>BlackRock Investment Quality Municipal Trust Inc. (The)</t>
  </si>
  <si>
    <t>BKR</t>
  </si>
  <si>
    <t>Baker Hughes Company Class A Common Stock</t>
  </si>
  <si>
    <t>BKT</t>
  </si>
  <si>
    <t>BlackRock Income Trust Inc. (The)</t>
  </si>
  <si>
    <t>BKU</t>
  </si>
  <si>
    <t>BankUnited Inc. Common Stock</t>
  </si>
  <si>
    <t>BLD</t>
  </si>
  <si>
    <t>TopBuild Corp. Common Stock</t>
  </si>
  <si>
    <t>BLDR</t>
  </si>
  <si>
    <t>Builders FirstSource Inc. Common Stock</t>
  </si>
  <si>
    <t>BLE</t>
  </si>
  <si>
    <t>BlackRock Municipal Income Trust II</t>
  </si>
  <si>
    <t>BLK</t>
  </si>
  <si>
    <t>BlackRock Inc. Common Stock</t>
  </si>
  <si>
    <t>BLL</t>
  </si>
  <si>
    <t>Ball Corporation Common Stock</t>
  </si>
  <si>
    <t>BLND</t>
  </si>
  <si>
    <t>Blend Labs Inc. Class A Common Stock</t>
  </si>
  <si>
    <t>BLUA</t>
  </si>
  <si>
    <t>BlueRiver Acquisition Corp. Class A Ordinary Shares</t>
  </si>
  <si>
    <t>BLW</t>
  </si>
  <si>
    <t>Blackrock Limited Duration Income Trust</t>
  </si>
  <si>
    <t>BLX</t>
  </si>
  <si>
    <t>Banco Latinoamericano de Comercio Exterior S.A.</t>
  </si>
  <si>
    <t>BMA</t>
  </si>
  <si>
    <t>Banco Macro S.A.  ADR (representing Ten Class B Common Shares)</t>
  </si>
  <si>
    <t>BME</t>
  </si>
  <si>
    <t>Blackrock Health Sciences Trust</t>
  </si>
  <si>
    <t>BMEZ</t>
  </si>
  <si>
    <t>BlackRock Health Sciences Trust II Common Shares of Beneficial Interest</t>
  </si>
  <si>
    <t>BMI</t>
  </si>
  <si>
    <t>Badger Meter Inc. Common Stock</t>
  </si>
  <si>
    <t>BML^G</t>
  </si>
  <si>
    <t>Bank of America Corporation Bank of America Corporation Depositary Shares (Each representing a 1/1200th interest in a share of Floating Rate Non-Cumulative Preferred Stock  Series 1)</t>
  </si>
  <si>
    <t>BML^H</t>
  </si>
  <si>
    <t>Bank of America Corporation Bank of America Corporation Depositary Shares (Each representing a 1/1200th interest in a Share of Floating Rate Non-Cumulative Preferred Stock Series 2)</t>
  </si>
  <si>
    <t>BML^J</t>
  </si>
  <si>
    <t>Bank of America Corporation Bank of America Corporation Depositary Shares (Each representing a 1/1200th interest in a Share of Floating Rate Non-Cumulative Preferred Stock Series 4)</t>
  </si>
  <si>
    <t>BML^L</t>
  </si>
  <si>
    <t>Bank of America Corporation Bank of America Corporation Depositary Shares (Each representing a 1/1200th Interest in a Share of Floating Rate Non-Cumulative Preferred Stock Series 5)</t>
  </si>
  <si>
    <t>BMO</t>
  </si>
  <si>
    <t>Bank Of Montreal Common Stock</t>
  </si>
  <si>
    <t>BMY</t>
  </si>
  <si>
    <t>Bristol-Myers Squibb Company Common Stock</t>
  </si>
  <si>
    <t>BNED</t>
  </si>
  <si>
    <t>Barnes &amp; Noble Education Inc Common Stock</t>
  </si>
  <si>
    <t>BNL</t>
  </si>
  <si>
    <t>Broadstone Net Lease Inc. Common Stock</t>
  </si>
  <si>
    <t>BNS</t>
  </si>
  <si>
    <t>Bank Nova Scotia Halifax Pfd 3 Ordinary Shares</t>
  </si>
  <si>
    <t>BNY</t>
  </si>
  <si>
    <t>BlackRock New York Municipal Income Trust</t>
  </si>
  <si>
    <t>BOAC</t>
  </si>
  <si>
    <t>Bluescape Opportunities Acquisition Corp. Class A Ordinary Shares</t>
  </si>
  <si>
    <t>BOAS</t>
  </si>
  <si>
    <t>BOA Acquisition Corp. Class A Common Stock</t>
  </si>
  <si>
    <t>BODY</t>
  </si>
  <si>
    <t>The Beachbody Company Inc. Class A Common Stock</t>
  </si>
  <si>
    <t>BOE</t>
  </si>
  <si>
    <t>Blackrock Enhanced Global Dividend Trust Common Shares of Beneficial Interest</t>
  </si>
  <si>
    <t>BOH</t>
  </si>
  <si>
    <t>Bank of Hawaii Corporation Common Stock</t>
  </si>
  <si>
    <t>BOH^A</t>
  </si>
  <si>
    <t>Bank of Hawaii Corporation Depositary Shares Each Representing a 1/40th Interest in a Share of 4.375% Fixed Rate Non-Cumulative Perpetual Preferred Stock Series A</t>
  </si>
  <si>
    <t>BOOT</t>
  </si>
  <si>
    <t>Boot Barn Holdings Inc. Common Stock</t>
  </si>
  <si>
    <t>BORR</t>
  </si>
  <si>
    <t>Borr Drilling Limited Common Shares</t>
  </si>
  <si>
    <t>BOX</t>
  </si>
  <si>
    <t>Box Inc. Class A Common Stock</t>
  </si>
  <si>
    <t>BP</t>
  </si>
  <si>
    <t>BP p.l.c. Common Stock</t>
  </si>
  <si>
    <t>BPMP</t>
  </si>
  <si>
    <t>BP Midstream Partners LP Common Units representing Limited Partner Interests</t>
  </si>
  <si>
    <t>BPT</t>
  </si>
  <si>
    <t>BP Prudhoe Bay Royalty Trust Common Stock</t>
  </si>
  <si>
    <t>BQ</t>
  </si>
  <si>
    <t>Boqii Holding Limited American Depositary Shares representing Class A Ordinary Shares</t>
  </si>
  <si>
    <t>BR</t>
  </si>
  <si>
    <t>Broadridge Financial Solutions Inc.Common Stock</t>
  </si>
  <si>
    <t>BRBR</t>
  </si>
  <si>
    <t>BellRing Brands Inc. Class A Common Stock</t>
  </si>
  <si>
    <t>BRC</t>
  </si>
  <si>
    <t>Brady Corporation Common Stock</t>
  </si>
  <si>
    <t>BRDG</t>
  </si>
  <si>
    <t>Bridge Investment Group Holdings Inc. Class A Common Stock</t>
  </si>
  <si>
    <t>BRFS</t>
  </si>
  <si>
    <t>BRF S.A.</t>
  </si>
  <si>
    <t>BRK/A</t>
  </si>
  <si>
    <t>Berkshire Hathaway Inc.</t>
  </si>
  <si>
    <t>BRK/B</t>
  </si>
  <si>
    <t>BRMK</t>
  </si>
  <si>
    <t>Broadmark Realty Capital Inc. Common Stock</t>
  </si>
  <si>
    <t>BRO</t>
  </si>
  <si>
    <t>Brown &amp; Brown Inc. Common Stock</t>
  </si>
  <si>
    <t>BRSP</t>
  </si>
  <si>
    <t>BrightSpire Capital Inc. Class A Common Stock</t>
  </si>
  <si>
    <t>BRT</t>
  </si>
  <si>
    <t>BRT Apartments Corp. (MD) Common Stock</t>
  </si>
  <si>
    <t>BRW</t>
  </si>
  <si>
    <t>Saba Capital Income &amp; Opportunities Fund SBI</t>
  </si>
  <si>
    <t>BRX</t>
  </si>
  <si>
    <t>Brixmor Property Group Inc. Common Stock</t>
  </si>
  <si>
    <t>BSA</t>
  </si>
  <si>
    <t>BrightSphere Investment Group Inc. 5.125% Notes due 2031</t>
  </si>
  <si>
    <t>BSAC</t>
  </si>
  <si>
    <t>Banco Santander - Chile ADS</t>
  </si>
  <si>
    <t>BSBR</t>
  </si>
  <si>
    <t>Banco Santander Brasil SA American Depositary Shares each representing one unit</t>
  </si>
  <si>
    <t>BSIG</t>
  </si>
  <si>
    <t>BrightSphere Investment Group Inc. Common Stock</t>
  </si>
  <si>
    <t>BSL</t>
  </si>
  <si>
    <t>Blackstone Senior Floating Rate Term Fund Common Shares of Beneficial Interest</t>
  </si>
  <si>
    <t>BSM</t>
  </si>
  <si>
    <t>Black Stone Minerals L.P. Common units representing limited partner interests</t>
  </si>
  <si>
    <t>BSMX</t>
  </si>
  <si>
    <t>Banco Santander Mexico S.A. Institucion de Banca Multiple Grupo Financiero Santander Mexico</t>
  </si>
  <si>
    <t>BSN</t>
  </si>
  <si>
    <t>Broadstone Acquisition Corp. Class A Ordinary Shares</t>
  </si>
  <si>
    <t>BST</t>
  </si>
  <si>
    <t>BlackRock Science and Technology Trust Common Shares of Beneficial Interest</t>
  </si>
  <si>
    <t>BSTZ</t>
  </si>
  <si>
    <t>BlackRock Science and Technology Trust II Common Shares of Beneficial Interest</t>
  </si>
  <si>
    <t>BSX</t>
  </si>
  <si>
    <t>Boston Scientific Corporation Common Stock</t>
  </si>
  <si>
    <t>BSX^A</t>
  </si>
  <si>
    <t>Boston Scientific Corporation 5.50% Mandatory Convertible Preferred Stock Series A</t>
  </si>
  <si>
    <t>BTA</t>
  </si>
  <si>
    <t>BlackRock Long-Term Municipal Advantage Trust BlackRock Long-Term Municipal Advantage Trust Common Shares of Beneficial Interest</t>
  </si>
  <si>
    <t>BTCM</t>
  </si>
  <si>
    <t>BIT Mining Limited ADS</t>
  </si>
  <si>
    <t>BTI</t>
  </si>
  <si>
    <t>British American Tobacco  Industries p.l.c. Common Stock ADR</t>
  </si>
  <si>
    <t>BTO</t>
  </si>
  <si>
    <t>John Hancock Financial Opportunities Fund Common Stock</t>
  </si>
  <si>
    <t>BTT</t>
  </si>
  <si>
    <t>BlackRock Municipal 2030 Target Term Trust</t>
  </si>
  <si>
    <t>BTU</t>
  </si>
  <si>
    <t>Peabody Energy Corporation Common Stock</t>
  </si>
  <si>
    <t>BTZ</t>
  </si>
  <si>
    <t>BlackRock Credit Allocation Income Trust</t>
  </si>
  <si>
    <t>BUD</t>
  </si>
  <si>
    <t>Anheuser-Busch Inbev SA Sponsored ADR (Belgium)</t>
  </si>
  <si>
    <t>BUI</t>
  </si>
  <si>
    <t>BlackRock Utility Infrastructure &amp; Power Opportunities Trust</t>
  </si>
  <si>
    <t>BUR</t>
  </si>
  <si>
    <t>Burford Capital Limited Ordinary Shares</t>
  </si>
  <si>
    <t>BURL</t>
  </si>
  <si>
    <t>Burlington Stores Inc. Common Stock</t>
  </si>
  <si>
    <t>BV</t>
  </si>
  <si>
    <t>BrightView Holdings Inc. Common Stock</t>
  </si>
  <si>
    <t>BVH</t>
  </si>
  <si>
    <t>Bluegreen Vacations Holding Corporation Class A Common Stock</t>
  </si>
  <si>
    <t>BVN</t>
  </si>
  <si>
    <t>Buenaventura Mining Company Inc.</t>
  </si>
  <si>
    <t>BW</t>
  </si>
  <si>
    <t>Babcock &amp; Wilcox Enterprises Inc. Common Stock</t>
  </si>
  <si>
    <t>BW^A</t>
  </si>
  <si>
    <t>Babcock &amp; Wilcox Enterprises Inc. 7.75% Series A Cumulative Perpetual Preferred Stock</t>
  </si>
  <si>
    <t>BWA</t>
  </si>
  <si>
    <t>BorgWarner Inc. Common Stock</t>
  </si>
  <si>
    <t>BWG</t>
  </si>
  <si>
    <t>BrandywineGLOBAL Global Income Opportunities Fund Inc.</t>
  </si>
  <si>
    <t>BWSN</t>
  </si>
  <si>
    <t>Babcock &amp; Wilcox Enterprises Inc. 8.125% Senior Notes due 2026</t>
  </si>
  <si>
    <t>BWXT</t>
  </si>
  <si>
    <t>BWX Technologies Inc. Common Stock</t>
  </si>
  <si>
    <t>BX</t>
  </si>
  <si>
    <t>The Blackstone Group Inc. Common Stock</t>
  </si>
  <si>
    <t>BXC</t>
  </si>
  <si>
    <t>Bluelinx Holdings Inc. Common Stock</t>
  </si>
  <si>
    <t>BXMT</t>
  </si>
  <si>
    <t>Blackstone Mortgage Trust Inc. Common Stock</t>
  </si>
  <si>
    <t>BXMX</t>
  </si>
  <si>
    <t>Nuveen S&amp;P 500 Buy-Write Income Fund Common Shares of Beneficial Interest</t>
  </si>
  <si>
    <t>BXP</t>
  </si>
  <si>
    <t>Boston Properties Inc. Common Stock</t>
  </si>
  <si>
    <t>BXS</t>
  </si>
  <si>
    <t>BancorpSouth Bank Common Stock</t>
  </si>
  <si>
    <t>BXS^A</t>
  </si>
  <si>
    <t>BancorpSouth Bank 5.50% Series A Non-Cumulative Perpetual Preferred Stock</t>
  </si>
  <si>
    <t>BY</t>
  </si>
  <si>
    <t>Byline Bancorp Inc. Common Stock</t>
  </si>
  <si>
    <t>BYD</t>
  </si>
  <si>
    <t>Boyd Gaming Corporation Common Stock</t>
  </si>
  <si>
    <t>BYM</t>
  </si>
  <si>
    <t>Blackrock Municipal Income Quality Trust Common Shares of Beneficial Interest</t>
  </si>
  <si>
    <t>BZH</t>
  </si>
  <si>
    <t>Beazer Homes USA Inc. Common Stock</t>
  </si>
  <si>
    <t>C</t>
  </si>
  <si>
    <t>Citigroup Inc. Common Stock</t>
  </si>
  <si>
    <t>C^J</t>
  </si>
  <si>
    <t>Citigroup Inc. Dep Shs Repstg 1/1000 Pfd Ser J Fixed/Fltg</t>
  </si>
  <si>
    <t>C^K</t>
  </si>
  <si>
    <t>Citigroup Inc. Dep Shs Repstg 1/1000th Pfd Ser K</t>
  </si>
  <si>
    <t>C^N</t>
  </si>
  <si>
    <t>Citigroup Capital XIII 7.875% Fixed rate Floating Rate trust Preferred Securities (TruPS)</t>
  </si>
  <si>
    <t>CAAP</t>
  </si>
  <si>
    <t>Corporacion America Airports SA Common Shares</t>
  </si>
  <si>
    <t>CABO</t>
  </si>
  <si>
    <t>Cable One Inc. Common Stock</t>
  </si>
  <si>
    <t>CACI</t>
  </si>
  <si>
    <t>CACI International Inc. Class A Common Stock</t>
  </si>
  <si>
    <t>CADE</t>
  </si>
  <si>
    <t>Cadence Bancorporation Class A Common Stock</t>
  </si>
  <si>
    <t>CAE</t>
  </si>
  <si>
    <t>CAE Inc. Ordinary Shares</t>
  </si>
  <si>
    <t>CAF</t>
  </si>
  <si>
    <t>Morgan Stanley China A Share Fund Inc. Common Stock</t>
  </si>
  <si>
    <t>CAG</t>
  </si>
  <si>
    <t>ConAgra Brands Inc. Common Stock</t>
  </si>
  <si>
    <t>CAH</t>
  </si>
  <si>
    <t>Cardinal Health Inc. Common Stock</t>
  </si>
  <si>
    <t>CAI</t>
  </si>
  <si>
    <t>CAI International Inc. Common Stock</t>
  </si>
  <si>
    <t>CAI^A</t>
  </si>
  <si>
    <t>CAI International Inc. 8.50% Series A Fixed-to-Floating Rate Cumulative Redeemable Perpetual Preferred Stock</t>
  </si>
  <si>
    <t>CAI^B</t>
  </si>
  <si>
    <t>CAI International Inc. 8.50% Series B Fixed-to-Floating Rate Cumulative Redeemable Perpetual Preferred Stock</t>
  </si>
  <si>
    <t>CAJ</t>
  </si>
  <si>
    <t>Canon Inc. American Depositary Shares</t>
  </si>
  <si>
    <t>CAL</t>
  </si>
  <si>
    <t>Caleres Inc. Common Stock</t>
  </si>
  <si>
    <t>CALX</t>
  </si>
  <si>
    <t>Calix Inc Common Stock</t>
  </si>
  <si>
    <t>CANG</t>
  </si>
  <si>
    <t>Cango Inc. American Depositary Shares  each representing two (2) Class A Ordinary Shares</t>
  </si>
  <si>
    <t>CANO</t>
  </si>
  <si>
    <t>Cano Health Inc. Class A Common Stock</t>
  </si>
  <si>
    <t>CAPL</t>
  </si>
  <si>
    <t>CrossAmerica Partners LP Common Units representing limited partner interests</t>
  </si>
  <si>
    <t>CARR</t>
  </si>
  <si>
    <t>Carrier Global Corporation Common Stock</t>
  </si>
  <si>
    <t>CARS</t>
  </si>
  <si>
    <t>Cars.com Inc. Common Stock</t>
  </si>
  <si>
    <t>CAS</t>
  </si>
  <si>
    <t>Cascade Acquisition Corp. Class A Common Stock</t>
  </si>
  <si>
    <t>CAT</t>
  </si>
  <si>
    <t>Caterpillar Inc. Common Stock</t>
  </si>
  <si>
    <t>CATO</t>
  </si>
  <si>
    <t>Cato Corporation (The) Class A Common Stock</t>
  </si>
  <si>
    <t>CB</t>
  </si>
  <si>
    <t>Chubb Limited  Common Stock</t>
  </si>
  <si>
    <t>CBAH</t>
  </si>
  <si>
    <t>CBRE Acquisition Holdings Inc. Class A Common Stock</t>
  </si>
  <si>
    <t>CBB</t>
  </si>
  <si>
    <t>Cincinnati Bell Inc. Common Stock</t>
  </si>
  <si>
    <t>CBB^B</t>
  </si>
  <si>
    <t>Cincinnati Bell Inc. Preferred Stock</t>
  </si>
  <si>
    <t>CBD</t>
  </si>
  <si>
    <t>Companhia Brasileira de Distribuicao American Depsitary Shares; each representing one Common Share</t>
  </si>
  <si>
    <t>CBH</t>
  </si>
  <si>
    <t>Virtus AllianzGI Convertible &amp; Income 2024 Target Term Fund Common Shares of Beneficial Interest</t>
  </si>
  <si>
    <t>CBRE</t>
  </si>
  <si>
    <t>CBRE Group Inc Common Stock Class A</t>
  </si>
  <si>
    <t>CBT</t>
  </si>
  <si>
    <t>Cabot Corporation Common Stock</t>
  </si>
  <si>
    <t>CBU</t>
  </si>
  <si>
    <t>Community Bank System Inc. Common Stock</t>
  </si>
  <si>
    <t>CBZ</t>
  </si>
  <si>
    <t>CBIZ Inc. Common Stock</t>
  </si>
  <si>
    <t>CC</t>
  </si>
  <si>
    <t>Chemours Company (The) Common Stock</t>
  </si>
  <si>
    <t>CCAC</t>
  </si>
  <si>
    <t>CITIC Capital Acquisition Corp. Class A Ordinary Shares</t>
  </si>
  <si>
    <t>CCCS</t>
  </si>
  <si>
    <t>CCC Intelligent Solutions Holdings Inc. Common Stock</t>
  </si>
  <si>
    <t>CCEP</t>
  </si>
  <si>
    <t>Coca-Cola Europacific Partners plc Ordinary Shares</t>
  </si>
  <si>
    <t>CCI</t>
  </si>
  <si>
    <t>Crown Castle International Corp. (REIT) Common Stock</t>
  </si>
  <si>
    <t>CCJ</t>
  </si>
  <si>
    <t>Cameco Corporation Common Stock</t>
  </si>
  <si>
    <t>CCK</t>
  </si>
  <si>
    <t>Crown Holdings Inc.</t>
  </si>
  <si>
    <t>CCL</t>
  </si>
  <si>
    <t>Carnival Corporation Common Stock</t>
  </si>
  <si>
    <t>CCM</t>
  </si>
  <si>
    <t>Concord Medical Services Holdings Limited ADS (Each represents three ordinary shares)</t>
  </si>
  <si>
    <t>CCO</t>
  </si>
  <si>
    <t>Clear Channel Outdoor Holdings Inc. Common Stock</t>
  </si>
  <si>
    <t>CCS</t>
  </si>
  <si>
    <t>Century Communities Inc. Common Stock</t>
  </si>
  <si>
    <t>CCU</t>
  </si>
  <si>
    <t>Compania Cervecerias Unidas S.A. Common Stock</t>
  </si>
  <si>
    <t>CCV</t>
  </si>
  <si>
    <t>Churchill Capital Corp V Class A Common Stock</t>
  </si>
  <si>
    <t>CCVI</t>
  </si>
  <si>
    <t>Churchill Capital Corp VI Class A Common Stock</t>
  </si>
  <si>
    <t>CCZ</t>
  </si>
  <si>
    <t>Comcast Holdings ZONES</t>
  </si>
  <si>
    <t>CDAY</t>
  </si>
  <si>
    <t>Ceridian HCM Holding Inc. Common Stock</t>
  </si>
  <si>
    <t>CDE</t>
  </si>
  <si>
    <t>Coeur Mining Inc. Common Stock</t>
  </si>
  <si>
    <t>CDR</t>
  </si>
  <si>
    <t>Cedar Realty Trust Inc. Common Stock</t>
  </si>
  <si>
    <t>CDR^B</t>
  </si>
  <si>
    <t>Cedar Realty Trust Inc. 7.25% Series B Cumulative Redeemable Preferred Stock</t>
  </si>
  <si>
    <t>CDR^C</t>
  </si>
  <si>
    <t>Cedar Realty Trust Inc. 6.50% Series C Cumulative Redeemable Preferred Stock</t>
  </si>
  <si>
    <t>CE</t>
  </si>
  <si>
    <t>Celanese Corporation Celanese Corporation Common Stock</t>
  </si>
  <si>
    <t>CEA</t>
  </si>
  <si>
    <t>China Eastern Airlines Corporation Ltd. Common Stock</t>
  </si>
  <si>
    <t>CEE</t>
  </si>
  <si>
    <t>The Central and Eastern Europe Fund Inc. (The) Common Stock</t>
  </si>
  <si>
    <t>CEIX</t>
  </si>
  <si>
    <t>CONSOL Energy Inc. Common Stock</t>
  </si>
  <si>
    <t>CELP</t>
  </si>
  <si>
    <t>Cypress Environmental Partners L.P. Common Units representing limited partner interests</t>
  </si>
  <si>
    <t>CEM</t>
  </si>
  <si>
    <t>ClearBridge MLP and Midstream Fund Inc. Common Stock</t>
  </si>
  <si>
    <t>CEN</t>
  </si>
  <si>
    <t>Center Coast Brookfield MLP &amp; Energy Infrastructure Fund</t>
  </si>
  <si>
    <t>CEPU</t>
  </si>
  <si>
    <t>Central Puerto S.A. American Depositary Shares (each represents ten Common Shares)</t>
  </si>
  <si>
    <t>CEQP</t>
  </si>
  <si>
    <t>Crestwood Equity Partners LP</t>
  </si>
  <si>
    <t>CEQP^</t>
  </si>
  <si>
    <t>Crestwood Equity Partners LP Preferred Units representing limited partner interests</t>
  </si>
  <si>
    <t>CF</t>
  </si>
  <si>
    <t>CF Industries Holdings Inc. Common Stock</t>
  </si>
  <si>
    <t>CFG</t>
  </si>
  <si>
    <t>Citizens Financial Group Inc. Common Stock</t>
  </si>
  <si>
    <t>CFG^D</t>
  </si>
  <si>
    <t>Citizens Financial Group Inc. Depositary Shares each representing a 1/40th Interest in a Share of 6.350% Fixed-to-Floating Rate Non-Cumulative Perpetual Preferred Stock Series D</t>
  </si>
  <si>
    <t>CFG^E</t>
  </si>
  <si>
    <t>Citizens Financial Group Inc. Depositary Shares Each Representing 1/40th Interest in a Share of 5.000% Fixed-Rate Non-Cumulative Perpetual Preferred Stock Series E</t>
  </si>
  <si>
    <t>CFR</t>
  </si>
  <si>
    <t>Cullen/Frost Bankers Inc. Common Stock</t>
  </si>
  <si>
    <t>CFR^B</t>
  </si>
  <si>
    <t>Cullen/Frost Bankers Inc. Depositary Shares each representing a 1/40th ownership interest in a share of 4.450% non-cumulative perpetual preferred stock Series B</t>
  </si>
  <si>
    <t>CFX</t>
  </si>
  <si>
    <t>Colfax Corporation Common Stock</t>
  </si>
  <si>
    <t>CFXA</t>
  </si>
  <si>
    <t>Colfax Corporation 5.75% Tangible Equity Units</t>
  </si>
  <si>
    <t>CGA</t>
  </si>
  <si>
    <t>China Green Agriculture Inc. Common Stock</t>
  </si>
  <si>
    <t>CGAU</t>
  </si>
  <si>
    <t>Centerra Gold Inc. Common Shares</t>
  </si>
  <si>
    <t>CHAA</t>
  </si>
  <si>
    <t>Catcha Investment Corp. Class A Ordinary Shares</t>
  </si>
  <si>
    <t>CHCT</t>
  </si>
  <si>
    <t>Community Healthcare Trust Incorporated Common Stock</t>
  </si>
  <si>
    <t>CHD</t>
  </si>
  <si>
    <t>Church &amp; Dwight Company Inc. Common Stock</t>
  </si>
  <si>
    <t>CHE</t>
  </si>
  <si>
    <t>Chemed Corp</t>
  </si>
  <si>
    <t>CHGG</t>
  </si>
  <si>
    <t>Chegg Inc. Common Stock</t>
  </si>
  <si>
    <t>CHH</t>
  </si>
  <si>
    <t>Choice Hotels International Inc. Common Stock</t>
  </si>
  <si>
    <t>CHMI</t>
  </si>
  <si>
    <t>Cherry Hill Mortgage Investment Corporation Common Stock</t>
  </si>
  <si>
    <t>CHMI^A</t>
  </si>
  <si>
    <t>Cherry Hill Mortgage Investment Corporation 8.20% Series A Cumulative Redeemable Preferred Stock</t>
  </si>
  <si>
    <t>CHMI^B</t>
  </si>
  <si>
    <t>Cherry Hill Mortgage Investment Corporation 8.250% Series B Fixed-to-Floating Rate Cumulative Redeemable Preferred Stock</t>
  </si>
  <si>
    <t>CHN</t>
  </si>
  <si>
    <t>China Fund Inc. (The) Common Stock</t>
  </si>
  <si>
    <t>CHPT</t>
  </si>
  <si>
    <t>ChargePoint Holdings Inc. Common Stock</t>
  </si>
  <si>
    <t>CHRA</t>
  </si>
  <si>
    <t>Charah Solutions Inc. Common Stock</t>
  </si>
  <si>
    <t>CHS</t>
  </si>
  <si>
    <t>Chico's FAS Inc. Common Stock</t>
  </si>
  <si>
    <t>CHT</t>
  </si>
  <si>
    <t>Chunghwa Telecom Co. Ltd.</t>
  </si>
  <si>
    <t>CHWY</t>
  </si>
  <si>
    <t>Chewy Inc. Class A Common Stock</t>
  </si>
  <si>
    <t>CI</t>
  </si>
  <si>
    <t>Cigna Corporation Common Stock</t>
  </si>
  <si>
    <t>CIA</t>
  </si>
  <si>
    <t>Citizens Inc. Class A Common Stock ($1.00 Par)</t>
  </si>
  <si>
    <t>CIB</t>
  </si>
  <si>
    <t>BanColombia S.A. Common Stock</t>
  </si>
  <si>
    <t>CIEN</t>
  </si>
  <si>
    <t>Ciena Corporation Common Stock</t>
  </si>
  <si>
    <t>CIF</t>
  </si>
  <si>
    <t>MFS Intermediate High Income Fund Common Stock</t>
  </si>
  <si>
    <t>CIG</t>
  </si>
  <si>
    <t>Comp En De Mn Cemig ADS American Depositary Shares</t>
  </si>
  <si>
    <t>CII</t>
  </si>
  <si>
    <t>Blackrock Capital and Income Fund Inc.</t>
  </si>
  <si>
    <t>CIM</t>
  </si>
  <si>
    <t>Chimera Investment Corporation Common Stock</t>
  </si>
  <si>
    <t>CIM^A</t>
  </si>
  <si>
    <t>Chimera Investment Corporation 8.00% Series A Cumulative Redeemable Preferred Stock</t>
  </si>
  <si>
    <t>CIM^B</t>
  </si>
  <si>
    <t>Chimera Investment Corporation 8.00% Series B Fixed-to-Floating Rate Cumulative Redeemable Preferred Stock</t>
  </si>
  <si>
    <t>CIM^C</t>
  </si>
  <si>
    <t>Chimera Investment Corporation 7.75% Series C Fixed-to-Floating Rate  Cumulative Redeemable  Preferred Stock</t>
  </si>
  <si>
    <t>CIM^D</t>
  </si>
  <si>
    <t>Chimera Investment Corporation 8.00% Series D Fixed-to-Floating Rate Cumulative Redeemable Preferred Stock</t>
  </si>
  <si>
    <t>CINR</t>
  </si>
  <si>
    <t>Ciner Resources LP Common Units representing Limited Partner Interests</t>
  </si>
  <si>
    <t>CIO</t>
  </si>
  <si>
    <t>City Office REIT Inc. Common Stock</t>
  </si>
  <si>
    <t>CIO^A</t>
  </si>
  <si>
    <t>City Office REIT Inc. 6.625% Series A Cumulative Redeemable Preferred Stock</t>
  </si>
  <si>
    <t>CIR</t>
  </si>
  <si>
    <t>CIRCOR International Inc. Common Stock</t>
  </si>
  <si>
    <t>CIT</t>
  </si>
  <si>
    <t>CIT Group Inc (DEL) Common Stock</t>
  </si>
  <si>
    <t>CIT^B</t>
  </si>
  <si>
    <t>CIT Group Inc (DEL) 5.625 % Non-Cumulative Perpetual Preferred Stock Series B</t>
  </si>
  <si>
    <t>CIXX</t>
  </si>
  <si>
    <t>CI Financial Corp. Common Shares</t>
  </si>
  <si>
    <t>CL</t>
  </si>
  <si>
    <t>Colgate-Palmolive Company Common Stock</t>
  </si>
  <si>
    <t>CLAA</t>
  </si>
  <si>
    <t>Colonnade Acquisition Corp. II Class A Ordinary Shares</t>
  </si>
  <si>
    <t>CLAS</t>
  </si>
  <si>
    <t>Class Acceleration Corp. Class A Common Stock</t>
  </si>
  <si>
    <t>CLB</t>
  </si>
  <si>
    <t>Core Laboratories N.V. Common Stock</t>
  </si>
  <si>
    <t>CLBR</t>
  </si>
  <si>
    <t>Colombier Acquisition Corp. Class A Common Stock</t>
  </si>
  <si>
    <t>CLDR</t>
  </si>
  <si>
    <t>Cloudera Inc. Common Stock</t>
  </si>
  <si>
    <t>CLDT</t>
  </si>
  <si>
    <t>Chatham Lodging Trust (REIT) Common Shares of Beneficial Interest</t>
  </si>
  <si>
    <t>CLDT^A</t>
  </si>
  <si>
    <t>Chatham Lodging Trust (REIT) 6.625% Series A Cumulative Redeemable Preferred Shares of Beneficial Interest</t>
  </si>
  <si>
    <t>CLF</t>
  </si>
  <si>
    <t>Cleveland-Cliffs Inc. Common Stock</t>
  </si>
  <si>
    <t>CLH</t>
  </si>
  <si>
    <t>Clean Harbors Inc. Common Stock</t>
  </si>
  <si>
    <t>CLI</t>
  </si>
  <si>
    <t>Mack-Cali Realty Corporation Common Stock</t>
  </si>
  <si>
    <t>CLIM</t>
  </si>
  <si>
    <t>Climate Real Impact Solutions II Acquisition Corporation Class A Common Stock</t>
  </si>
  <si>
    <t>CLPR</t>
  </si>
  <si>
    <t>Clipper Realty Inc. Common Stock</t>
  </si>
  <si>
    <t>CLR</t>
  </si>
  <si>
    <t>Continental Resources Inc. Common Stock</t>
  </si>
  <si>
    <t>CLS</t>
  </si>
  <si>
    <t>Celestica Inc. Common Stock</t>
  </si>
  <si>
    <t>CLVT</t>
  </si>
  <si>
    <t>Clarivate Plc Ordinary Shares</t>
  </si>
  <si>
    <t>CLVT^A</t>
  </si>
  <si>
    <t>Clarivate Plc 5.25% Series A Mandatory Convertible Preferred Shares</t>
  </si>
  <si>
    <t>CLW</t>
  </si>
  <si>
    <t>Clearwater Paper Corporation Common Stock</t>
  </si>
  <si>
    <t>CLX</t>
  </si>
  <si>
    <t>Clorox Company (The) Common Stock</t>
  </si>
  <si>
    <t>CM</t>
  </si>
  <si>
    <t>Canadian Imperial Bank of Commerce Common Stock</t>
  </si>
  <si>
    <t>CMA</t>
  </si>
  <si>
    <t>Comerica Incorporated Common Stock</t>
  </si>
  <si>
    <t>CMC</t>
  </si>
  <si>
    <t>Commercial Metals Company Common Stock</t>
  </si>
  <si>
    <t>CMCM</t>
  </si>
  <si>
    <t>Cheetah Mobile Inc. American Depositary Shares each representing 10 Class Ordinary Shares</t>
  </si>
  <si>
    <t>CMG</t>
  </si>
  <si>
    <t>Chipotle Mexican Grill Inc. Common Stock</t>
  </si>
  <si>
    <t>CMI</t>
  </si>
  <si>
    <t>Cummins Inc. Common Stock</t>
  </si>
  <si>
    <t>CMO</t>
  </si>
  <si>
    <t>Capstead Mortgage Corporation Common Stock</t>
  </si>
  <si>
    <t>CMO^E</t>
  </si>
  <si>
    <t>Capstead Mortgage Corporation Pfd Ser E</t>
  </si>
  <si>
    <t>CMP</t>
  </si>
  <si>
    <t>Compass Minerals Intl Inc Common Stock</t>
  </si>
  <si>
    <t>CMRE</t>
  </si>
  <si>
    <t>Costamare Inc. Common Stock $0.0001 par value</t>
  </si>
  <si>
    <t>CMRE^B</t>
  </si>
  <si>
    <t>Costamare Inc. Perpetual Preferred Stock Series B (Marshall Islands)</t>
  </si>
  <si>
    <t>CMRE^C</t>
  </si>
  <si>
    <t>Costamare Inc. Perpetual Preferred Series C (Marshall Islands)</t>
  </si>
  <si>
    <t>CMRE^D</t>
  </si>
  <si>
    <t>Costamare Inc. 8.75% Series D Cumulative Redeemable Perpetual Preferred Stock</t>
  </si>
  <si>
    <t>CMRE^E</t>
  </si>
  <si>
    <t>Costamare Inc. 8.875% Series E Cumulative Redeemable Perpetual Preferred Stock par value $0.0001</t>
  </si>
  <si>
    <t>CMS</t>
  </si>
  <si>
    <t>CMS Energy Corporation Common Stock</t>
  </si>
  <si>
    <t>CMS^B</t>
  </si>
  <si>
    <t>CMS Energy Corporation Preferred Stock</t>
  </si>
  <si>
    <t>CMS^C</t>
  </si>
  <si>
    <t>CMS Energy Corporation Depositary Shares each representing a 1/1000th interest in a share of 4.200% Cumulative Redeemable Perpetual Preferred Stock Series C</t>
  </si>
  <si>
    <t>CMSA</t>
  </si>
  <si>
    <t>CMS Energy Corporation 5.625% Junior Subordinated Notes due 2078</t>
  </si>
  <si>
    <t>CMSC</t>
  </si>
  <si>
    <t>CMS Energy Corporation 5.875% Junior Subordinated Notes due 2078</t>
  </si>
  <si>
    <t>CMSD</t>
  </si>
  <si>
    <t>CMS Energy Corporation 5.875% Junior Subordinated Notes due 2079</t>
  </si>
  <si>
    <t>CMU</t>
  </si>
  <si>
    <t>MFS Municipal Income Trust Common Stock</t>
  </si>
  <si>
    <t>CNA</t>
  </si>
  <si>
    <t>CNA Financial Corporation Common Stock</t>
  </si>
  <si>
    <t>CNC</t>
  </si>
  <si>
    <t>Centene Corporation Common Stock</t>
  </si>
  <si>
    <t>CND</t>
  </si>
  <si>
    <t>Concord Acquisition Corp. Class A Common Stock</t>
  </si>
  <si>
    <t>CNF</t>
  </si>
  <si>
    <t>CNFinance Holdings Limited American Depositary Shares each representing  twenty (20) Ordinary Shares</t>
  </si>
  <si>
    <t>CNHI</t>
  </si>
  <si>
    <t>CNH Industrial N.V. Common Shares</t>
  </si>
  <si>
    <t>CNI</t>
  </si>
  <si>
    <t>Canadian National Railway Company Common Stock</t>
  </si>
  <si>
    <t>CNK</t>
  </si>
  <si>
    <t>Cinemark Holdings Inc Cinemark Holdings Inc. Common Stock</t>
  </si>
  <si>
    <t>CNM</t>
  </si>
  <si>
    <t>Core &amp; Main Inc. Class A Common Stock</t>
  </si>
  <si>
    <t>CNMD</t>
  </si>
  <si>
    <t>CONMED Corporation Common Stock</t>
  </si>
  <si>
    <t>CNNE</t>
  </si>
  <si>
    <t>Cannae Holdings Inc. Common Stock</t>
  </si>
  <si>
    <t>CNO</t>
  </si>
  <si>
    <t>CNO Financial Group Inc. Common Stock</t>
  </si>
  <si>
    <t>CNO^A</t>
  </si>
  <si>
    <t>CNO Financial Group Inc. 5.125% Subordinated Debentures due 2060</t>
  </si>
  <si>
    <t>CNP</t>
  </si>
  <si>
    <t>CenterPoint Energy Inc (Holding Co) Common Stock</t>
  </si>
  <si>
    <t>CNP^B</t>
  </si>
  <si>
    <t>CenterPoint Energy Inc. Depositary Shares Each Representing a 1/20th Interest in a Share of 7.00% Series B Mandatory Convertible Preferred Stock</t>
  </si>
  <si>
    <t>CNQ</t>
  </si>
  <si>
    <t>Canadian Natural Resources Limited Common Stock</t>
  </si>
  <si>
    <t>CNR</t>
  </si>
  <si>
    <t>Cornerstone Building Brands Inc. Common Stock</t>
  </si>
  <si>
    <t>CNS</t>
  </si>
  <si>
    <t>Cohen &amp; Steers Inc Common Stock</t>
  </si>
  <si>
    <t>CNVY</t>
  </si>
  <si>
    <t>Convey Holding Parent Inc. Common Stock</t>
  </si>
  <si>
    <t>CNX</t>
  </si>
  <si>
    <t>CNX Resources Corporation Common Stock</t>
  </si>
  <si>
    <t>CO</t>
  </si>
  <si>
    <t>Global Cord Blood Corporation Common Stock</t>
  </si>
  <si>
    <t>CODI</t>
  </si>
  <si>
    <t>D/B/A Compass Diversified Holdings Shares of Beneficial Interest</t>
  </si>
  <si>
    <t>CODI^A</t>
  </si>
  <si>
    <t>Compass Diversified Holdings 7.250% Series A Preferred Shares representing beneficial interest in Compass Diversified Holdings</t>
  </si>
  <si>
    <t>CODI^B</t>
  </si>
  <si>
    <t>Compass Diversified Holdings 7.875% Series B Fixed-to-Floating Rate Cumulative Preferred Shares representing beneficial interests in Compass Diversified Holdings</t>
  </si>
  <si>
    <t>CODI^C</t>
  </si>
  <si>
    <t>Compass Diversified Holdings 7.875% Series C Cumulative Preferred Shares</t>
  </si>
  <si>
    <t>COE</t>
  </si>
  <si>
    <t>China Online Education Group American depositary shares each representing 15 Class A ordinary shares</t>
  </si>
  <si>
    <t>COF</t>
  </si>
  <si>
    <t>Capital One Financial Corporation Common Stock</t>
  </si>
  <si>
    <t>COF^G</t>
  </si>
  <si>
    <t>Capital One Financial Corporation Depositary Shares Each Representing a 1/40th Interest in a Share of Fixed Rate Non-Cumulative Perpetual Preferred Stock Series G</t>
  </si>
  <si>
    <t>COF^H</t>
  </si>
  <si>
    <t>Capital One Financial Corporation Depositary Shares Each Representing 1/40th Interest in a Share of Fixed Rate Non-Cumulative Perpetual Preferred Stock Series H</t>
  </si>
  <si>
    <t>COF^I</t>
  </si>
  <si>
    <t>Capital One Financial Corporation Depositary shares each representing a 1/40th interest in a share of Fixed Rate Non-Cumulative Perpetual Preferred Stock Series I of the Issuer</t>
  </si>
  <si>
    <t>COF^J</t>
  </si>
  <si>
    <t>Capital One Financial Corporation Depositary Shares Each Representing a 1/40th Interest in a Share of Fixed Rate Non- Cumulative Perpetual Preferred Stock Series J</t>
  </si>
  <si>
    <t>COF^K</t>
  </si>
  <si>
    <t>Capital One Financial Corporation Depositary Shares Each Representing a 1/40th Ownership Interest in a Share of Fixed Rate Non-Cumulative Perpetual Preferred Stock Series K</t>
  </si>
  <si>
    <t>COF^L</t>
  </si>
  <si>
    <t>Capital One Financial Corporation Depositary Shares Each Representing a 1/40th Interest in a Share of Fixed Rate Non-Cumulative Perpetual Preferred Stock Series L</t>
  </si>
  <si>
    <t>COF^N</t>
  </si>
  <si>
    <t>Capital One Financial Corporation Depositary Shares Each Representing a 1/40th Ownership Interest in a Share of Fixed Rate Non-Cumulative Perpetual Preferred Stock Series N</t>
  </si>
  <si>
    <t>COG</t>
  </si>
  <si>
    <t>Cabot Oil &amp; Gas Corporation Common Stock</t>
  </si>
  <si>
    <t>COLD</t>
  </si>
  <si>
    <t>Americold Realty Trust Common Shares</t>
  </si>
  <si>
    <t>COMP</t>
  </si>
  <si>
    <t>Compass Inc. Class A Common Stock</t>
  </si>
  <si>
    <t>COO</t>
  </si>
  <si>
    <t>The Cooper Companies Inc. Common Stock</t>
  </si>
  <si>
    <t>COOK</t>
  </si>
  <si>
    <t>Traeger Inc. Common Stock</t>
  </si>
  <si>
    <t>COP</t>
  </si>
  <si>
    <t>ConocoPhillips Common Stock</t>
  </si>
  <si>
    <t>COR</t>
  </si>
  <si>
    <t>CoreSite Realty Corporation Common Stock</t>
  </si>
  <si>
    <t>CORR</t>
  </si>
  <si>
    <t>CorEnergy Infrastructure Trust Inc. Common Stock</t>
  </si>
  <si>
    <t>CORR^A</t>
  </si>
  <si>
    <t>CorEnergy Infrastructure Trust Inc. Depositary Shares each representing a 1/100th fractional interest of a share of 7.375% Series A Cumulative Redeemable Preferred Stock</t>
  </si>
  <si>
    <t>COTY</t>
  </si>
  <si>
    <t>Coty Inc. Class A Common Stock</t>
  </si>
  <si>
    <t>COUR</t>
  </si>
  <si>
    <t>Coursera Inc. Common Stock</t>
  </si>
  <si>
    <t>CP</t>
  </si>
  <si>
    <t>Canadian Pacific Railway Limited Common Stock</t>
  </si>
  <si>
    <t>CPA</t>
  </si>
  <si>
    <t>Copa Holdings S.A. Copa Holdings S.A. Class A Common Stock</t>
  </si>
  <si>
    <t>CPAC</t>
  </si>
  <si>
    <t>Cementos Pacasmayo S.A.A. American Depositary Shares (Each representing five Common Shares)</t>
  </si>
  <si>
    <t>CPB</t>
  </si>
  <si>
    <t>Campbell Soup Company Common Stock</t>
  </si>
  <si>
    <t>CPE</t>
  </si>
  <si>
    <t>Callon Petroleum Company Common Stock</t>
  </si>
  <si>
    <t>CPF</t>
  </si>
  <si>
    <t>Central Pacific Financial Corp New</t>
  </si>
  <si>
    <t>CPG</t>
  </si>
  <si>
    <t>Crescent Point Energy Corporation Ordinary Shares (Canada)</t>
  </si>
  <si>
    <t>CPK</t>
  </si>
  <si>
    <t>Chesapeake Utilities Corporation Common Stock</t>
  </si>
  <si>
    <t>CPLG</t>
  </si>
  <si>
    <t>CorePoint Lodging Inc. Common Stock</t>
  </si>
  <si>
    <t>CPNG</t>
  </si>
  <si>
    <t>Coupang Inc. Class A Common Stock</t>
  </si>
  <si>
    <t>CPRI</t>
  </si>
  <si>
    <t>Capri Holdings Limited Ordinary Shares</t>
  </si>
  <si>
    <t>CPS</t>
  </si>
  <si>
    <t>Cooper-Standard Holdings Inc. Common Stock</t>
  </si>
  <si>
    <t>CPSR</t>
  </si>
  <si>
    <t>Capstar Special Purpose Acquisition Corp. Class A Common Stock</t>
  </si>
  <si>
    <t>CPT</t>
  </si>
  <si>
    <t>Camden Property Trust Common Stock</t>
  </si>
  <si>
    <t>CPTK</t>
  </si>
  <si>
    <t>Crown PropTech Acquisitions Class A Ordinary Shares</t>
  </si>
  <si>
    <t>CPUH</t>
  </si>
  <si>
    <t>Compute Health Acquisition Corp. Class A Common Stock</t>
  </si>
  <si>
    <t>CR</t>
  </si>
  <si>
    <t>Crane Co. Common Stock</t>
  </si>
  <si>
    <t>CRC</t>
  </si>
  <si>
    <t>California Resources Corporation Common Stock</t>
  </si>
  <si>
    <t>CRD/A</t>
  </si>
  <si>
    <t>Crawford &amp; Company</t>
  </si>
  <si>
    <t>CRD/B</t>
  </si>
  <si>
    <t>CRH</t>
  </si>
  <si>
    <t>CRH PLC American Depositary Shares</t>
  </si>
  <si>
    <t>CRHC</t>
  </si>
  <si>
    <t>Cohn Robbins Holdings Corp. Class A Ordinary Shares</t>
  </si>
  <si>
    <t>CRI</t>
  </si>
  <si>
    <t>Carter's Inc. Common Stock</t>
  </si>
  <si>
    <t>CRK</t>
  </si>
  <si>
    <t>Comstock Resources Inc. Common Stock</t>
  </si>
  <si>
    <t>CRL</t>
  </si>
  <si>
    <t>Charles River Laboratories International Inc. Common Stock</t>
  </si>
  <si>
    <t>CRM</t>
  </si>
  <si>
    <t>Salesforce.com Inc Common Stock</t>
  </si>
  <si>
    <t>CRS</t>
  </si>
  <si>
    <t>Carpenter Technology Corporation Common Stock</t>
  </si>
  <si>
    <t>CRT</t>
  </si>
  <si>
    <t>Cross Timbers Royalty Trust Common Stock</t>
  </si>
  <si>
    <t>CRU</t>
  </si>
  <si>
    <t>Crucible Acquisition Corporation Class A Common Stock</t>
  </si>
  <si>
    <t>CRY</t>
  </si>
  <si>
    <t>CryoLife Inc. Common Stock</t>
  </si>
  <si>
    <t>CS</t>
  </si>
  <si>
    <t>Credit Suisse Group American Depositary Shares</t>
  </si>
  <si>
    <t>CSAN</t>
  </si>
  <si>
    <t>Cosan S.A. ADS</t>
  </si>
  <si>
    <t>CSL</t>
  </si>
  <si>
    <t>Carlisle Companies Incorporated Common Stock</t>
  </si>
  <si>
    <t>CSLT</t>
  </si>
  <si>
    <t>Castlight Health Inc. Class B Common Stock</t>
  </si>
  <si>
    <t>CSPR</t>
  </si>
  <si>
    <t>Casper Sleep Inc. Common Stock</t>
  </si>
  <si>
    <t>CSR</t>
  </si>
  <si>
    <t>D/B/A Centerspace Common Stock</t>
  </si>
  <si>
    <t>CSR^C</t>
  </si>
  <si>
    <t>D/B/A Centerspace 6.625% Series C</t>
  </si>
  <si>
    <t>CSTA</t>
  </si>
  <si>
    <t>Constellation Acquisition Corp I Class A Ordinary Shares</t>
  </si>
  <si>
    <t>CSTM</t>
  </si>
  <si>
    <t>Constellium SE Ordinary Shares (France)</t>
  </si>
  <si>
    <t>CSU</t>
  </si>
  <si>
    <t>Capital Senior Living Corporation Common Stock</t>
  </si>
  <si>
    <t>CSV</t>
  </si>
  <si>
    <t>Carriage Services Inc. Common Stock</t>
  </si>
  <si>
    <t>CTA^A</t>
  </si>
  <si>
    <t>E.I. du Pont de Nemours and Company Preferred Stock</t>
  </si>
  <si>
    <t>CTA^B</t>
  </si>
  <si>
    <t>CTAC</t>
  </si>
  <si>
    <t>Cerberus Telecom Acquisition Corp. Class A Ordinary Shares</t>
  </si>
  <si>
    <t>CTBB</t>
  </si>
  <si>
    <t>Qwest Corporation 6.5% Notes due 2056</t>
  </si>
  <si>
    <t>CTDD</t>
  </si>
  <si>
    <t>Qwest Corporation 6.75% Notes due 2057</t>
  </si>
  <si>
    <t>CTK</t>
  </si>
  <si>
    <t>CooTek (Cayman) Inc. American Depositary Shares each representing 50 Class A Ordinary Shares</t>
  </si>
  <si>
    <t>CTLT</t>
  </si>
  <si>
    <t>Catalent Inc. Common Stock</t>
  </si>
  <si>
    <t>CTO</t>
  </si>
  <si>
    <t>CTO Realty Growth Inc. Common Stock</t>
  </si>
  <si>
    <t>CTO^A</t>
  </si>
  <si>
    <t>CTO Realty Growth Inc. 6.375% Series A Cumulative Redeemable Preferred Stock</t>
  </si>
  <si>
    <t>CTOS</t>
  </si>
  <si>
    <t>Custom Truck One Source Inc. Common Stock</t>
  </si>
  <si>
    <t>CTR</t>
  </si>
  <si>
    <t>ClearBridge MLP and Midstream Total Return Fund Inc. Common Stock</t>
  </si>
  <si>
    <t>CTS</t>
  </si>
  <si>
    <t>CTS Corporation Common Stock</t>
  </si>
  <si>
    <t>CTT</t>
  </si>
  <si>
    <t>CatchMark Timber Trust Inc. Class A Common Stock</t>
  </si>
  <si>
    <t>CTVA</t>
  </si>
  <si>
    <t>Corteva Inc. Common Stock</t>
  </si>
  <si>
    <t>CUBB</t>
  </si>
  <si>
    <t>Customers Bancorp Inc 5.375% Subordinated Notes Due 2034</t>
  </si>
  <si>
    <t>CUBE</t>
  </si>
  <si>
    <t>CubeSmart Common Shares</t>
  </si>
  <si>
    <t>CUBI</t>
  </si>
  <si>
    <t>Customers Bancorp Inc Common Stock</t>
  </si>
  <si>
    <t>CUBI^C</t>
  </si>
  <si>
    <t>Customers Bancorp Inc Fixed-to-Floating Rate Non-Cumulative Perpetual Preferred Stock Series C</t>
  </si>
  <si>
    <t>CUBI^E</t>
  </si>
  <si>
    <t>Customers Bancorp Inc Fixed-to-Floating Rate Non-Cumulative Perpetual Preferred Stock Series E</t>
  </si>
  <si>
    <t>CUBI^F</t>
  </si>
  <si>
    <t>Customers Bancorp Inc Fixed-to-Floating Rate Non-Cumulative Perpetual Preferred Stock Series F</t>
  </si>
  <si>
    <t>CUK</t>
  </si>
  <si>
    <t>Carnival Plc ADS ADS</t>
  </si>
  <si>
    <t>CULP</t>
  </si>
  <si>
    <t>Culp Inc. Common Stock</t>
  </si>
  <si>
    <t>CURO</t>
  </si>
  <si>
    <t>CURO Group Holdings Corp. Common Stock</t>
  </si>
  <si>
    <t>CURV</t>
  </si>
  <si>
    <t>Torrid Holdings Inc. Common Stock</t>
  </si>
  <si>
    <t>CUZ</t>
  </si>
  <si>
    <t>Cousins Properties Incorporated Common Stock</t>
  </si>
  <si>
    <t>CVA</t>
  </si>
  <si>
    <t>Covanta Holding Corporation Common Stock</t>
  </si>
  <si>
    <t>CVE</t>
  </si>
  <si>
    <t>Cenovus Energy Inc Common Stock</t>
  </si>
  <si>
    <t>CVEO</t>
  </si>
  <si>
    <t>Civeo Corporation (Canada) Common Shares</t>
  </si>
  <si>
    <t>CVI</t>
  </si>
  <si>
    <t>CVR Energy Inc. Common Stock</t>
  </si>
  <si>
    <t>CVII</t>
  </si>
  <si>
    <t>Churchill Capital Corp VII Class A Common Stock</t>
  </si>
  <si>
    <t>CVNA</t>
  </si>
  <si>
    <t>Carvana Co. Class A Common Stock</t>
  </si>
  <si>
    <t>CVS</t>
  </si>
  <si>
    <t>CVS Health Corporation Common Stock</t>
  </si>
  <si>
    <t>CVX</t>
  </si>
  <si>
    <t>Chevron Corporation Common Stock</t>
  </si>
  <si>
    <t>CW</t>
  </si>
  <si>
    <t>Curtiss-Wright Corporation Common Stock</t>
  </si>
  <si>
    <t>CWEN</t>
  </si>
  <si>
    <t>Clearway Energy Inc. Class C Common Stock</t>
  </si>
  <si>
    <t>CWH</t>
  </si>
  <si>
    <t>Camping World Holdings Inc. Class A Commom Stock</t>
  </si>
  <si>
    <t>CWK</t>
  </si>
  <si>
    <t>Cushman &amp; Wakefield plc Ordinary Shares</t>
  </si>
  <si>
    <t>CWT</t>
  </si>
  <si>
    <t>California Water Service Group Common Stock</t>
  </si>
  <si>
    <t>CX</t>
  </si>
  <si>
    <t>Cemex S.A.B. de C.V. Sponsored ADR</t>
  </si>
  <si>
    <t>CXE</t>
  </si>
  <si>
    <t>MFS High Income Municipal Trust Common Stock</t>
  </si>
  <si>
    <t>CXH</t>
  </si>
  <si>
    <t>MFS Investment Grade Municipal Trust Common Stock</t>
  </si>
  <si>
    <t>CXM</t>
  </si>
  <si>
    <t>Sprinklr Inc. Class A Common Stock</t>
  </si>
  <si>
    <t>CXP</t>
  </si>
  <si>
    <t>Columbia Property Trust Inc. Common Stock</t>
  </si>
  <si>
    <t>CXW</t>
  </si>
  <si>
    <t>CoreCivic Inc. Common Stock</t>
  </si>
  <si>
    <t>CYD</t>
  </si>
  <si>
    <t>China Yuchai International Limited Common Stock</t>
  </si>
  <si>
    <t>CYH</t>
  </si>
  <si>
    <t>Community Health Systems Inc. Common Stock</t>
  </si>
  <si>
    <t>D</t>
  </si>
  <si>
    <t>Dominion Energy Inc. Common Stock</t>
  </si>
  <si>
    <t>DAC</t>
  </si>
  <si>
    <t>Danaos Corporation Common Stock</t>
  </si>
  <si>
    <t>DAL</t>
  </si>
  <si>
    <t>Delta Air Lines Inc. Common Stock</t>
  </si>
  <si>
    <t>DAN</t>
  </si>
  <si>
    <t>Dana Incorporated Common Stock</t>
  </si>
  <si>
    <t>DAO</t>
  </si>
  <si>
    <t>Youdao Inc. American Depositary Shares each representing one Class A Ordinary Share</t>
  </si>
  <si>
    <t>DAR</t>
  </si>
  <si>
    <t>Darling Ingredients Inc. Common Stock</t>
  </si>
  <si>
    <t>DASH</t>
  </si>
  <si>
    <t>DoorDash Inc. Class A Common Stock</t>
  </si>
  <si>
    <t>DAVA</t>
  </si>
  <si>
    <t>Endava plc American Depositary Shares (each representing one Class A Ordinary Share)</t>
  </si>
  <si>
    <t>DB</t>
  </si>
  <si>
    <t>Deutsche Bank AG Common Stock</t>
  </si>
  <si>
    <t>DBD</t>
  </si>
  <si>
    <t>Diebold Nixdorf Incorporated Common Stock</t>
  </si>
  <si>
    <t>DBI</t>
  </si>
  <si>
    <t>Designer Brands Inc. Class A Common Stock</t>
  </si>
  <si>
    <t>DBL</t>
  </si>
  <si>
    <t>DoubleLine Opportunistic Credit Fund Common Shares of Beneficial Interest</t>
  </si>
  <si>
    <t>DBRG</t>
  </si>
  <si>
    <t>DigitalBridge Group Inc.</t>
  </si>
  <si>
    <t>DBRG^G</t>
  </si>
  <si>
    <t>DigitalBridge Group Inc. 7.50% Series G</t>
  </si>
  <si>
    <t>DBRG^H</t>
  </si>
  <si>
    <t>DigitalBridge Group Inc. 7.125% Series H</t>
  </si>
  <si>
    <t>DBRG^I</t>
  </si>
  <si>
    <t>DigitalBridge Group Inc. 7.15% Series I</t>
  </si>
  <si>
    <t>DBRG^J</t>
  </si>
  <si>
    <t>DigitalBridge Group Inc. 7.125% Series J</t>
  </si>
  <si>
    <t>DCF</t>
  </si>
  <si>
    <t>BNY Mellon Alcentra Global Credit Income 2024 Target Term Fund Inc. Common Stock</t>
  </si>
  <si>
    <t>DCI</t>
  </si>
  <si>
    <t>Donaldson Company Inc. Common Stock</t>
  </si>
  <si>
    <t>DCO</t>
  </si>
  <si>
    <t>Ducommun Incorporated Common Stock</t>
  </si>
  <si>
    <t>DCP</t>
  </si>
  <si>
    <t>DCP Midstream  LP Common Units</t>
  </si>
  <si>
    <t>DCP^B</t>
  </si>
  <si>
    <t>DCP Midstream LP 7.875% Series B Fixed-to-Floating Rate Cumulative Redeemable Perpetual Preferred Units</t>
  </si>
  <si>
    <t>DCP^C</t>
  </si>
  <si>
    <t>DCP Midstream LP 7.95% Series C Fixed-to-Floating Rate Cumulative Redeemable Perpetual Preferred Units</t>
  </si>
  <si>
    <t>DCUE</t>
  </si>
  <si>
    <t>Dominion Energy Inc. 2019 Series A Corporate Units</t>
  </si>
  <si>
    <t>DD</t>
  </si>
  <si>
    <t>DuPont de Nemours Inc. Common Stock</t>
  </si>
  <si>
    <t>DDD</t>
  </si>
  <si>
    <t>3D Systems Corporation Common Stock</t>
  </si>
  <si>
    <t>DDF</t>
  </si>
  <si>
    <t>Delaware Investments Dividend &amp; Income Fund Inc. Common Stock</t>
  </si>
  <si>
    <t>DDL</t>
  </si>
  <si>
    <t>Dingdong (Cayman) Limited American Depositary Shares (each two representing three Ordinary Shares)</t>
  </si>
  <si>
    <t>DDS</t>
  </si>
  <si>
    <t>Dillard's Inc. Common Stock</t>
  </si>
  <si>
    <t>DDT</t>
  </si>
  <si>
    <t>Dillard's Capital Trust I</t>
  </si>
  <si>
    <t>DE</t>
  </si>
  <si>
    <t>Deere &amp; Company Common Stock</t>
  </si>
  <si>
    <t>DEA</t>
  </si>
  <si>
    <t>Easterly Government Properties Inc. Common Stock</t>
  </si>
  <si>
    <t>DECK</t>
  </si>
  <si>
    <t>Deckers Outdoor Corporation Common Stock</t>
  </si>
  <si>
    <t>DEH</t>
  </si>
  <si>
    <t>D8 Holdings Corp. Class A Ordinary Shares</t>
  </si>
  <si>
    <t>DEI</t>
  </si>
  <si>
    <t>Douglas Emmett Inc. Common Stock</t>
  </si>
  <si>
    <t>DELL</t>
  </si>
  <si>
    <t>Dell Technologies Inc. Class C Common Stock</t>
  </si>
  <si>
    <t>DEN</t>
  </si>
  <si>
    <t>Denbury Inc. Common Stock</t>
  </si>
  <si>
    <t>DEO</t>
  </si>
  <si>
    <t>Diageo plc Common Stock</t>
  </si>
  <si>
    <t>DESP</t>
  </si>
  <si>
    <t>Despegar.com Corp. Ordinary Shares</t>
  </si>
  <si>
    <t>DEX</t>
  </si>
  <si>
    <t>Delaware Enhanced Global Dividend Common Shares of Beneficial Interest</t>
  </si>
  <si>
    <t>DFIN</t>
  </si>
  <si>
    <t>Donnelley Financial Solutions Inc. Common Stock</t>
  </si>
  <si>
    <t>DFNS</t>
  </si>
  <si>
    <t>LGL Systems Acquisition Corp. Common Stock</t>
  </si>
  <si>
    <t>DFP</t>
  </si>
  <si>
    <t>Flaherty &amp; Crumrine Dynamic Preferred and Income Fund Inc. Common Stock</t>
  </si>
  <si>
    <t>DFS</t>
  </si>
  <si>
    <t>Discover Financial Services Common Stock</t>
  </si>
  <si>
    <t>DG</t>
  </si>
  <si>
    <t>Dollar General Corporation Common Stock</t>
  </si>
  <si>
    <t>DGX</t>
  </si>
  <si>
    <t>Quest Diagnostics Incorporated Common Stock</t>
  </si>
  <si>
    <t>DHF</t>
  </si>
  <si>
    <t>BNY Mellon High Yield Strategies Fund Common Stock</t>
  </si>
  <si>
    <t>DHI</t>
  </si>
  <si>
    <t>D.R. Horton Inc. Common Stock</t>
  </si>
  <si>
    <t>DHR</t>
  </si>
  <si>
    <t>Danaher Corporation Common Stock</t>
  </si>
  <si>
    <t>DHR^A</t>
  </si>
  <si>
    <t>Danaher Corporation 4.75% Mandatory Convertible Preferred Stock Series A</t>
  </si>
  <si>
    <t>DHR^B</t>
  </si>
  <si>
    <t>Danaher Corporation 5.00% Mandatory Convertible Preferred Stock Series B</t>
  </si>
  <si>
    <t>DHT</t>
  </si>
  <si>
    <t>DHT Holdings Inc.</t>
  </si>
  <si>
    <t>DHX</t>
  </si>
  <si>
    <t>DHI Group Inc. Common Stock</t>
  </si>
  <si>
    <t>DIAX</t>
  </si>
  <si>
    <t>Nuveen Dow 30SM Dynamic Overwrite Fund Common Shares of Beneficial Interest</t>
  </si>
  <si>
    <t>DIDI</t>
  </si>
  <si>
    <t>DiDi Global Inc. American Depositary Shares (each four representing one Class A Ordinary Share)</t>
  </si>
  <si>
    <t>DIN</t>
  </si>
  <si>
    <t>Dine Brands Global Inc. Common Stock</t>
  </si>
  <si>
    <t>DIS</t>
  </si>
  <si>
    <t>Walt Disney Company (The) Common Stock</t>
  </si>
  <si>
    <t>DK</t>
  </si>
  <si>
    <t>Delek US Holdings Inc. Common Stock</t>
  </si>
  <si>
    <t>DKL</t>
  </si>
  <si>
    <t>Delek Logistics Partners L.P. Common Units representing Limited Partner Interests</t>
  </si>
  <si>
    <t>DKS</t>
  </si>
  <si>
    <t>Dick's Sporting Goods Inc Common Stock</t>
  </si>
  <si>
    <t>DLB</t>
  </si>
  <si>
    <t>Dolby Laboratories Common Stock</t>
  </si>
  <si>
    <t>DLNG</t>
  </si>
  <si>
    <t>Dynagas LNG Partners LP Common Units</t>
  </si>
  <si>
    <t>DLNG^A</t>
  </si>
  <si>
    <t>Dynagas LNG Partners LP 9.00% Series A Cumulative Redeemable Preferred Units</t>
  </si>
  <si>
    <t>DLNG^B</t>
  </si>
  <si>
    <t>Dynagas LNG Partners LP 8.75% Series B Fixed to Floating Rate Cumulative Redeemable Perpetual Preferred Units liquidation preference $25.00 per Uni</t>
  </si>
  <si>
    <t>DLR</t>
  </si>
  <si>
    <t>Digital Realty Trust Inc. Common Stock</t>
  </si>
  <si>
    <t>DLR^J</t>
  </si>
  <si>
    <t>Digital Realty Trust Inc. 5.250% Series J Cumulative Redeemable Preferred Stock</t>
  </si>
  <si>
    <t>DLR^K</t>
  </si>
  <si>
    <t>Digital Realty Trust Inc. 5.850% Series K Cumulative Redeemable Preferred Stock par value $0.01 per share</t>
  </si>
  <si>
    <t>DLR^L</t>
  </si>
  <si>
    <t>Digital Realty Trust Inc. 5.200% Series L Cumulative Redeemable Preferred Stock</t>
  </si>
  <si>
    <t>DLX</t>
  </si>
  <si>
    <t>Deluxe Corporation Common Stock</t>
  </si>
  <si>
    <t>DLY</t>
  </si>
  <si>
    <t>DoubleLine Yield Opportunities Fund Common Shares of Beneficial Interest</t>
  </si>
  <si>
    <t>DM</t>
  </si>
  <si>
    <t>Desktop Metal Inc. Class A Common Stock</t>
  </si>
  <si>
    <t>DMB</t>
  </si>
  <si>
    <t>BNY Mellon Municipal Bond Infrastructure Fund Inc. Common Stock</t>
  </si>
  <si>
    <t>DMO</t>
  </si>
  <si>
    <t>Western Asset Mortgage Opportunity Fund Inc. Common Stock</t>
  </si>
  <si>
    <t>DMS</t>
  </si>
  <si>
    <t>Digital Media Solutions Inc. Class A Ordinary Shares</t>
  </si>
  <si>
    <t>DMYI</t>
  </si>
  <si>
    <t>dMY Technology Group Inc. III Class A Common Stock</t>
  </si>
  <si>
    <t>DMYQ</t>
  </si>
  <si>
    <t>dMY Technology Group Inc. IV Class A Common Stock</t>
  </si>
  <si>
    <t>DNB</t>
  </si>
  <si>
    <t>Dun &amp; Bradstreet Holdings Inc. Common Stock</t>
  </si>
  <si>
    <t>DNMR</t>
  </si>
  <si>
    <t>Danimer Scientific Inc. Common Stock</t>
  </si>
  <si>
    <t>DNOW</t>
  </si>
  <si>
    <t>NOW Inc. Common Stock</t>
  </si>
  <si>
    <t>DNP</t>
  </si>
  <si>
    <t>DNP Select Income Fund Inc. Common Stock</t>
  </si>
  <si>
    <t>DNZ</t>
  </si>
  <si>
    <t>D and Z Media Acquisition Corp. Class A Common Stock</t>
  </si>
  <si>
    <t>DOC</t>
  </si>
  <si>
    <t>Physicians Realty Trust Common Shares of Beneficial Interest</t>
  </si>
  <si>
    <t>DOCN</t>
  </si>
  <si>
    <t>DigitalOcean Holdings Inc. Common Stock</t>
  </si>
  <si>
    <t>DOCS</t>
  </si>
  <si>
    <t>Doximity Inc. Class A Common Stock</t>
  </si>
  <si>
    <t>DOLE</t>
  </si>
  <si>
    <t>Dole plc Ordinary Shares</t>
  </si>
  <si>
    <t>DOMA</t>
  </si>
  <si>
    <t>Doma Holdings Inc. Common Stock</t>
  </si>
  <si>
    <t>DOOR</t>
  </si>
  <si>
    <t>Masonite International Corporation Ordinary Shares (Canada)</t>
  </si>
  <si>
    <t>DOV</t>
  </si>
  <si>
    <t>Dover Corporation Common Stock</t>
  </si>
  <si>
    <t>DOW</t>
  </si>
  <si>
    <t>Dow Inc. Common Stock</t>
  </si>
  <si>
    <t>DPG</t>
  </si>
  <si>
    <t>Duff &amp; Phelps Utility and Infrastructure Fund Inc.</t>
  </si>
  <si>
    <t>DPZ</t>
  </si>
  <si>
    <t>Domino's Pizza Inc Common Stock</t>
  </si>
  <si>
    <t>DQ</t>
  </si>
  <si>
    <t>DAQO New Energy Corp. American Depositary Shares each representing five ordinary shares</t>
  </si>
  <si>
    <t>DRD</t>
  </si>
  <si>
    <t>DRDGOLD Limited American Depositary Shares</t>
  </si>
  <si>
    <t>DRE</t>
  </si>
  <si>
    <t>Duke Realty Corporation Common Stock</t>
  </si>
  <si>
    <t>DRH</t>
  </si>
  <si>
    <t>Diamondrock Hospitality Company Common Stock</t>
  </si>
  <si>
    <t>DRH^A</t>
  </si>
  <si>
    <t>Diamondrock Hospitality Company 8.250% Series A Cumulative Redeemable Preferred Stock</t>
  </si>
  <si>
    <t>DRI</t>
  </si>
  <si>
    <t>Darden Restaurants Inc. Common Stock</t>
  </si>
  <si>
    <t>DRQ</t>
  </si>
  <si>
    <t>Dril-Quip Inc. Common Stock</t>
  </si>
  <si>
    <t>DRUA</t>
  </si>
  <si>
    <t>Dominion Energy Inc. 2016 Series A 5.25% Enhanced Junior Subordinated Notes due 2076</t>
  </si>
  <si>
    <t>DS</t>
  </si>
  <si>
    <t>Drive Shack Inc.</t>
  </si>
  <si>
    <t>DS^B</t>
  </si>
  <si>
    <t>Drive Shack Inc. Preferred Series B</t>
  </si>
  <si>
    <t>DS^C</t>
  </si>
  <si>
    <t>Drive Shack Inc. Preferred Series C</t>
  </si>
  <si>
    <t>DS^D</t>
  </si>
  <si>
    <t>Drive Shack Inc. Pfd Ser D</t>
  </si>
  <si>
    <t>DSL</t>
  </si>
  <si>
    <t>DoubleLine Income Solutions Fund Common Shares of Beneficial Interests</t>
  </si>
  <si>
    <t>DSM</t>
  </si>
  <si>
    <t>BNY Mellon Strategic Municipal Bond Fund Inc. Common Stock</t>
  </si>
  <si>
    <t>DSU</t>
  </si>
  <si>
    <t>Blackrock Debt Strategies Fund Inc. Common Stock</t>
  </si>
  <si>
    <t>DSX</t>
  </si>
  <si>
    <t>Diana Shipping inc. common stock</t>
  </si>
  <si>
    <t>DSX^B</t>
  </si>
  <si>
    <t>Diana Shipping Inc. Perpetual Preferred Shares Series B (Marshall Islands)</t>
  </si>
  <si>
    <t>DT</t>
  </si>
  <si>
    <t>Dynatrace Inc. Common Stock</t>
  </si>
  <si>
    <t>DTB</t>
  </si>
  <si>
    <t>DTE Energy Company 2020 Series G 4.375% Junior Subordinated Debentures due 2080</t>
  </si>
  <si>
    <t>DTE</t>
  </si>
  <si>
    <t>DTE Energy Company Common Stock</t>
  </si>
  <si>
    <t>DTF</t>
  </si>
  <si>
    <t>DTF Tax-Free Income Inc. Common Stock</t>
  </si>
  <si>
    <t>DTLA^</t>
  </si>
  <si>
    <t>Brookfield DTLA Inc. 7.625% Series A Cumulative Redeemable Preferred Stock</t>
  </si>
  <si>
    <t>DTM</t>
  </si>
  <si>
    <t>DT Midstream Inc. Common Stock</t>
  </si>
  <si>
    <t>DTP</t>
  </si>
  <si>
    <t>DTE Energy Company 6.25% Corporate Units</t>
  </si>
  <si>
    <t>DTW</t>
  </si>
  <si>
    <t>DTE Energy Company 2017 Series E 5.25% Junior Subordinated Debentures due 2077</t>
  </si>
  <si>
    <t>DTY</t>
  </si>
  <si>
    <t>DTE Energy Company 2016 Series F 6.00% Junior Subordinated Debentures due 2076</t>
  </si>
  <si>
    <t>DUK</t>
  </si>
  <si>
    <t>Duke Energy Corporation (Holding Company) Common Stock</t>
  </si>
  <si>
    <t>DUK^A</t>
  </si>
  <si>
    <t>Duke Energy Corporation Depositary Shares each representing a 1/1000th interest in a share of 5.75% Series A Cumulative Redeemable Perpetual Preferred Stock</t>
  </si>
  <si>
    <t>DUKB</t>
  </si>
  <si>
    <t>Duke Energy Corporation 5.625% Junior Subordinated Debentures due 2078</t>
  </si>
  <si>
    <t>DUKH</t>
  </si>
  <si>
    <t>Duke Energy Corporation 5.125% Junior Subordinated Debentures due 2073</t>
  </si>
  <si>
    <t>DV</t>
  </si>
  <si>
    <t>DoubleVerify Holdings Inc. Common Stock</t>
  </si>
  <si>
    <t>DVA</t>
  </si>
  <si>
    <t>DaVita Inc. Common Stock</t>
  </si>
  <si>
    <t>DVD</t>
  </si>
  <si>
    <t>Dover Motorsports Inc. Common Stock</t>
  </si>
  <si>
    <t>DVN</t>
  </si>
  <si>
    <t>Devon Energy Corporation Common Stock</t>
  </si>
  <si>
    <t>DWIN</t>
  </si>
  <si>
    <t>Delwinds Insurance Acquisition Corp. Class A Common Stock</t>
  </si>
  <si>
    <t>DX</t>
  </si>
  <si>
    <t>Dynex Capital Inc. Common Stock</t>
  </si>
  <si>
    <t>DX^C</t>
  </si>
  <si>
    <t>Dynex Capital Inc. 6.900% Series C Fixed-to-Floating Rate Cumulative Redeemable Preferred Stock</t>
  </si>
  <si>
    <t>DXC</t>
  </si>
  <si>
    <t>DXC Technology Company Common Stock</t>
  </si>
  <si>
    <t>DY</t>
  </si>
  <si>
    <t>Dycom Industries Inc. Common Stock</t>
  </si>
  <si>
    <t>DYFN</t>
  </si>
  <si>
    <t>Angel Oak Dynamic Financial Strategies Income Term Trust Common Shares of Beneficial Interest</t>
  </si>
  <si>
    <t>E</t>
  </si>
  <si>
    <t>ENI S.p.A. Common Stock</t>
  </si>
  <si>
    <t>EAF</t>
  </si>
  <si>
    <t>GrafTech International Ltd. Common Stock</t>
  </si>
  <si>
    <t>EAI</t>
  </si>
  <si>
    <t>Entergy Arkansas LLC First Mortgage Bonds 4.875% Series Due September 1 2066</t>
  </si>
  <si>
    <t>EARN</t>
  </si>
  <si>
    <t>Ellington Residential Mortgage REIT Common Shares of Beneficial Interest</t>
  </si>
  <si>
    <t>EAT</t>
  </si>
  <si>
    <t>Brinker International Inc. Common Stock</t>
  </si>
  <si>
    <t>EB</t>
  </si>
  <si>
    <t>Eventbrite Inc. Class A Common Stock</t>
  </si>
  <si>
    <t>EBF</t>
  </si>
  <si>
    <t>Ennis Inc. Common Stock</t>
  </si>
  <si>
    <t>EBR</t>
  </si>
  <si>
    <t>Centrais Electricas Brasileiras S A American Depositary Shares (Each representing one Common Share)</t>
  </si>
  <si>
    <t>EBS</t>
  </si>
  <si>
    <t>Emergent Biosolutions Inc. Common Stock</t>
  </si>
  <si>
    <t>EC</t>
  </si>
  <si>
    <t>Ecopetrol S.A. American Depositary Shares</t>
  </si>
  <si>
    <t>ECC</t>
  </si>
  <si>
    <t>Eagle Point Credit Company Inc. Common Stock</t>
  </si>
  <si>
    <t>ECCB</t>
  </si>
  <si>
    <t>Eagle Point Credit Company Inc. 7.75% Series B Term Preferred Stock due 2026</t>
  </si>
  <si>
    <t>ECCC</t>
  </si>
  <si>
    <t>Eagle Point Credit Company Inc. 6.50% Series C Term Preferred Stock due 2031</t>
  </si>
  <si>
    <t>ECCW</t>
  </si>
  <si>
    <t>Eagle Point Credit Company Inc. 6.75% Notes due 2031</t>
  </si>
  <si>
    <t>ECCX</t>
  </si>
  <si>
    <t>Eagle Point Credit Company Inc. 6.6875% Notes due 2028</t>
  </si>
  <si>
    <t>ECCY</t>
  </si>
  <si>
    <t>Eagle Point Credit Company Inc. 6.75% Notes due 2027</t>
  </si>
  <si>
    <t>ECL</t>
  </si>
  <si>
    <t>Ecolab Inc. Common Stock</t>
  </si>
  <si>
    <t>ECOM</t>
  </si>
  <si>
    <t>ChannelAdvisor Corporation Common Stock</t>
  </si>
  <si>
    <t>ECVT</t>
  </si>
  <si>
    <t>Ecovyst Inc. Common Stock</t>
  </si>
  <si>
    <t>ED</t>
  </si>
  <si>
    <t>Consolidated Edison Inc. Common Stock</t>
  </si>
  <si>
    <t>EDD</t>
  </si>
  <si>
    <t>Morgan Stanley Emerging Markets Domestic Debt Fund Inc. Morgan Stanley Emerging Markets Domestic Debt Fund Inc. Common Stock</t>
  </si>
  <si>
    <t>EDF</t>
  </si>
  <si>
    <t>Stone Harbor Emerging Markets Income Fund Common Shares of Beneficial Interest</t>
  </si>
  <si>
    <t>EDI</t>
  </si>
  <si>
    <t>Stone Harbor Emerging Markets Total Income Fund Common Shares of Beneficial Interests</t>
  </si>
  <si>
    <t>EDN</t>
  </si>
  <si>
    <t>Empresa Distribuidora Y Comercializadora Norte S.A. (Edenor) Empresa Distribuidora Y Comercializadora Norte S.A. (Edenor) American Depositary Shares</t>
  </si>
  <si>
    <t>EDR</t>
  </si>
  <si>
    <t>Endeavor Group Holdings Inc. Class A Common Stock</t>
  </si>
  <si>
    <t>EDU</t>
  </si>
  <si>
    <t>New Oriental Education &amp; Technology Group Inc. Sponsored ADR representing 1 Ordinary Share (Cayman Islands)</t>
  </si>
  <si>
    <t>EEA</t>
  </si>
  <si>
    <t>The European Equity Fund Inc. Common Stock</t>
  </si>
  <si>
    <t>EEX</t>
  </si>
  <si>
    <t>Emerald Holding Inc. Common Stock</t>
  </si>
  <si>
    <t>EFC</t>
  </si>
  <si>
    <t>Ellington Financial Inc. Common Stock</t>
  </si>
  <si>
    <t>EFC^A</t>
  </si>
  <si>
    <t>Ellington Financial Inc. 6.750% Series A Fixed-to-Floating Rate Cumulative Redeemable Preferred Stock</t>
  </si>
  <si>
    <t>EFL</t>
  </si>
  <si>
    <t>Eaton Vance Floating-Rate 2022 Target Term Trust Common Shares of Beneficial Interest</t>
  </si>
  <si>
    <t>EFR</t>
  </si>
  <si>
    <t>Eaton Vance Senior Floating-Rate Fund Common Shares of Beneficial Interest</t>
  </si>
  <si>
    <t>EFT</t>
  </si>
  <si>
    <t>Eaton Vance Floating Rate Income Trust Common Shares of Beneficial Interest</t>
  </si>
  <si>
    <t>EFX</t>
  </si>
  <si>
    <t>Equifax Inc. Common Stock</t>
  </si>
  <si>
    <t>EGF</t>
  </si>
  <si>
    <t>Blackrock Enhanced Government Fund Inc. Common Stock</t>
  </si>
  <si>
    <t>EGHT</t>
  </si>
  <si>
    <t>8x8 Inc Common Stock</t>
  </si>
  <si>
    <t>EGO</t>
  </si>
  <si>
    <t>Eldorado Gold Corporation Ordinary Shares</t>
  </si>
  <si>
    <t>EGP</t>
  </si>
  <si>
    <t>EastGroup Properties Inc. Common Stock</t>
  </si>
  <si>
    <t>EGY</t>
  </si>
  <si>
    <t>VAALCO Energy Inc.  Common Stock</t>
  </si>
  <si>
    <t>EHC</t>
  </si>
  <si>
    <t>Encompass Health Corporation Common Stock</t>
  </si>
  <si>
    <t>EHI</t>
  </si>
  <si>
    <t>Western Asset Global High Income Fund Inc Common Stock</t>
  </si>
  <si>
    <t>EIC</t>
  </si>
  <si>
    <t>Eagle Point Income Company Inc. Common Stock</t>
  </si>
  <si>
    <t>EIG</t>
  </si>
  <si>
    <t>Employers Holdings Inc Common Stock</t>
  </si>
  <si>
    <t>EIX</t>
  </si>
  <si>
    <t>Edison International Common Stock</t>
  </si>
  <si>
    <t>EL</t>
  </si>
  <si>
    <t>Estee Lauder Companies Inc. (The) Common Stock</t>
  </si>
  <si>
    <t>ELAN</t>
  </si>
  <si>
    <t>Elanco Animal Health Incorporated Common Stock</t>
  </si>
  <si>
    <t>ELAT</t>
  </si>
  <si>
    <t>Elanco Animal Health Incorporated 5.00% Tangible Equity Units</t>
  </si>
  <si>
    <t>ELC</t>
  </si>
  <si>
    <t>Entergy Louisiana Inc. Collateral Trust Mortgage Bonds 4.875 % Series due September 1 2066</t>
  </si>
  <si>
    <t>ELF</t>
  </si>
  <si>
    <t>e.l.f. Beauty Inc. Common Stock</t>
  </si>
  <si>
    <t>ELP</t>
  </si>
  <si>
    <t>Companhia Paranaense de Energia (COPEL) American Depositary Shares (each representing one Unit consisting one Common Share and four non-voting Class B Preferred Shares)</t>
  </si>
  <si>
    <t>ELS</t>
  </si>
  <si>
    <t>Equity Lifestyle Properties Inc. Common Stock</t>
  </si>
  <si>
    <t>ELVT</t>
  </si>
  <si>
    <t>Elevate Credit Inc. Common Stock</t>
  </si>
  <si>
    <t>ELY</t>
  </si>
  <si>
    <t>Callaway Golf Company Common Stock</t>
  </si>
  <si>
    <t>EMD</t>
  </si>
  <si>
    <t>Western Asset Emerging Markets Debt Fund Inc Common Stock</t>
  </si>
  <si>
    <t>EME</t>
  </si>
  <si>
    <t>EMCOR Group Inc. Common Stock</t>
  </si>
  <si>
    <t>EMF</t>
  </si>
  <si>
    <t>Templeton Emerging Markets Fund Common Stock</t>
  </si>
  <si>
    <t>EMN</t>
  </si>
  <si>
    <t>Eastman Chemical Company Common Stock</t>
  </si>
  <si>
    <t>EMO</t>
  </si>
  <si>
    <t>ClearBridge Energy Midstream Opportunity Fund Inc. Common Stock</t>
  </si>
  <si>
    <t>EMP</t>
  </si>
  <si>
    <t>Entergy Mississippi LLC First Mortgage Bonds 4.90% Series Due October 1 2066</t>
  </si>
  <si>
    <t>EMR</t>
  </si>
  <si>
    <t>Emerson Electric Company Common Stock</t>
  </si>
  <si>
    <t>ENB</t>
  </si>
  <si>
    <t>Enbridge Inc Common Stock</t>
  </si>
  <si>
    <t>ENBA</t>
  </si>
  <si>
    <t>Enbridge Inc 6.375% Fixed-to-Floating Rate Subordinated Notes Series 2018-B due 2078</t>
  </si>
  <si>
    <t>ENBL</t>
  </si>
  <si>
    <t>Enable Midstream Partners LP Common Units representing limited partner interests</t>
  </si>
  <si>
    <t>ENIA</t>
  </si>
  <si>
    <t>Enel Americas S.A. American Depositary Shares</t>
  </si>
  <si>
    <t>ENIC</t>
  </si>
  <si>
    <t>Enel Chile S.A. American Depositary Shares (Each representing 50 shares of Common Stock)</t>
  </si>
  <si>
    <t>ENJ</t>
  </si>
  <si>
    <t>Entergy New Orleans LLC First Mortgage Bonds 5.0% Series due December 1 2052</t>
  </si>
  <si>
    <t>ENLC</t>
  </si>
  <si>
    <t>EnLink Midstream LLC Common Units representing Limited Partner Interests</t>
  </si>
  <si>
    <t>ENO</t>
  </si>
  <si>
    <t>Entergy New Orleans LLC First Mortgage Bonds 5.50% Series due April 1 2066</t>
  </si>
  <si>
    <t>ENPC</t>
  </si>
  <si>
    <t>Executive Network Partnering Corporation Class A Common Stock</t>
  </si>
  <si>
    <t>ENR</t>
  </si>
  <si>
    <t>Energizer Holdings Inc. Common Stock</t>
  </si>
  <si>
    <t>ENR^A</t>
  </si>
  <si>
    <t>Energizer Holdings Inc. 7.50% Series A Mandatory Convertible Preferred Stock</t>
  </si>
  <si>
    <t>ENS</t>
  </si>
  <si>
    <t>EnerSys Common Stock</t>
  </si>
  <si>
    <t>ENV</t>
  </si>
  <si>
    <t>Envestnet Inc Common Stock</t>
  </si>
  <si>
    <t>ENVA</t>
  </si>
  <si>
    <t>Enova International Inc. Common Stock</t>
  </si>
  <si>
    <t>ENZ</t>
  </si>
  <si>
    <t>Enzo Biochem Inc. Common Stock ($0.01 Par Value)</t>
  </si>
  <si>
    <t>EOD</t>
  </si>
  <si>
    <t>Wells Fargo Global Dividend Opportunity Fund</t>
  </si>
  <si>
    <t>EOG</t>
  </si>
  <si>
    <t>EOG Resources Inc. Common Stock</t>
  </si>
  <si>
    <t>EOI</t>
  </si>
  <si>
    <t>Eaton Vance Enhance Equity Income Fund Eaton Vance Enhanced Equity Income Fund Shares of Beneficial Interest</t>
  </si>
  <si>
    <t>EOS</t>
  </si>
  <si>
    <t>Eaton Vance Enhance Equity Income Fund II Common Stock</t>
  </si>
  <si>
    <t>EOT</t>
  </si>
  <si>
    <t>Eaton Vance Municipal Income Trust EATON VANCE NATIONAL MUNICIPAL OPPORTUNITIES TRUST</t>
  </si>
  <si>
    <t>EP^C</t>
  </si>
  <si>
    <t>El Paso Corporation Preferred Stock</t>
  </si>
  <si>
    <t>EPAC</t>
  </si>
  <si>
    <t>Enerpac Tool Group Corp. Common Stock</t>
  </si>
  <si>
    <t>EPAM</t>
  </si>
  <si>
    <t>EPAM Systems Inc. Common Stock</t>
  </si>
  <si>
    <t>EPC</t>
  </si>
  <si>
    <t>Edgewell Personal Care Company Common Stock</t>
  </si>
  <si>
    <t>EPD</t>
  </si>
  <si>
    <t>Enterprise Products Partners L.P. Common Stock</t>
  </si>
  <si>
    <t>EPR</t>
  </si>
  <si>
    <t>EPR Properties Common Stock</t>
  </si>
  <si>
    <t>EPR^C</t>
  </si>
  <si>
    <t>EPR Properties 5.75% Series C Cumulative Convertible Preferred Shares</t>
  </si>
  <si>
    <t>EPR^E</t>
  </si>
  <si>
    <t>EPR Properties Series E Cumulative Conv Pfd Shs Ser E</t>
  </si>
  <si>
    <t>EPR^G</t>
  </si>
  <si>
    <t>EPR Properties 5.750% Series G Cumulative Redeemable Preferred Shares</t>
  </si>
  <si>
    <t>EPRT</t>
  </si>
  <si>
    <t>Essential Properties Realty Trust Inc. Common Stock</t>
  </si>
  <si>
    <t>EPWR</t>
  </si>
  <si>
    <t>Empowerment &amp; Inclusion Capital I Corp. Class A Common Stock</t>
  </si>
  <si>
    <t>EQC</t>
  </si>
  <si>
    <t>Equity Commonwealth Common Shares of Beneficial Interest</t>
  </si>
  <si>
    <t>EQC^D</t>
  </si>
  <si>
    <t>Equity Commonwealth 6.50% Pfd Conv Shs Ser D</t>
  </si>
  <si>
    <t>EQD</t>
  </si>
  <si>
    <t>Equity Distribution Acquisition Corp. Class A Common Stock</t>
  </si>
  <si>
    <t>EQH</t>
  </si>
  <si>
    <t>Equitable Holdings Inc. Common Stock</t>
  </si>
  <si>
    <t>EQH^A</t>
  </si>
  <si>
    <t>Equitable Holdings Inc. Depositary Shares</t>
  </si>
  <si>
    <t>EQH^C</t>
  </si>
  <si>
    <t>Equitable Holdings Inc. Depositary Shares each representing a 1/1000th interest in a share of Fixed Rate Noncumulative Perpetual Preferred Stock Series C</t>
  </si>
  <si>
    <t>EQNR</t>
  </si>
  <si>
    <t>Equinor ASA</t>
  </si>
  <si>
    <t>EQR</t>
  </si>
  <si>
    <t>Equity Residential Common Shares of Beneficial Interest</t>
  </si>
  <si>
    <t>EQS</t>
  </si>
  <si>
    <t>Equus Total Return Inc. Common Stock</t>
  </si>
  <si>
    <t>EQT</t>
  </si>
  <si>
    <t>EQT Corporation Common Stock</t>
  </si>
  <si>
    <t>ERF</t>
  </si>
  <si>
    <t>Enerplus Corporation Common Stock</t>
  </si>
  <si>
    <t>ERJ</t>
  </si>
  <si>
    <t>Embraer S.A. Common Stock</t>
  </si>
  <si>
    <t>ERO</t>
  </si>
  <si>
    <t>Ero Copper Corp. Common Shares</t>
  </si>
  <si>
    <t>ES</t>
  </si>
  <si>
    <t>Eversource Energy (D/B/A) Common Stock</t>
  </si>
  <si>
    <t>ESE</t>
  </si>
  <si>
    <t>ESCO Technologies Inc. Common Stock</t>
  </si>
  <si>
    <t>ESGC</t>
  </si>
  <si>
    <t>Eros STX Global Corporation A Ordinary Shares</t>
  </si>
  <si>
    <t>ESI</t>
  </si>
  <si>
    <t>Element Solutions Inc. Common Stock</t>
  </si>
  <si>
    <t>ESM</t>
  </si>
  <si>
    <t>ESM Acquisition Corporation Class A Ordinary Shares</t>
  </si>
  <si>
    <t>ESNT</t>
  </si>
  <si>
    <t>Essent Group Ltd. Common Shares</t>
  </si>
  <si>
    <t>ESRT</t>
  </si>
  <si>
    <t>Empire State Realty Trust Inc. Class A Common Stock</t>
  </si>
  <si>
    <t>ESS</t>
  </si>
  <si>
    <t>Essex Property Trust Inc. Common Stock</t>
  </si>
  <si>
    <t>ESTC</t>
  </si>
  <si>
    <t>Elastic N.V. Ordinary Shares</t>
  </si>
  <si>
    <t>ESTE</t>
  </si>
  <si>
    <t>Earthstone Energy Inc. Class A Common Stock</t>
  </si>
  <si>
    <t>ET</t>
  </si>
  <si>
    <t>Energy Transfer LP Common Units</t>
  </si>
  <si>
    <t>ET^C</t>
  </si>
  <si>
    <t>Energy Transfer L.P. 7.375% Series C Fixed-to-Floating Rate Cumulative Redeemable Perpetual Preferred Unit</t>
  </si>
  <si>
    <t>ET^D</t>
  </si>
  <si>
    <t>Energy Transfer L.P. 7.625% Series D Fixed-to-Floating Rate Cumulative Redeemable Perpetual Preferred Unit</t>
  </si>
  <si>
    <t>ET^E</t>
  </si>
  <si>
    <t>Energy Transfer L.P. 7.600% Series E Fixed-to-Floating Rate Cumulative Redeemable Perpetual Preferred Unit</t>
  </si>
  <si>
    <t>ETB</t>
  </si>
  <si>
    <t>Eaton Vance Tax-Managed Buy-Write Income Fund Eaton Vance Tax-Managed Buy-Write Income Fund Common Shares of Beneficial Interest</t>
  </si>
  <si>
    <t>ETG</t>
  </si>
  <si>
    <t>Eaton Vance Tax-Advantaged Global Dividend Income Fund Common Shares of Beneficial Interest</t>
  </si>
  <si>
    <t>ETH</t>
  </si>
  <si>
    <t>Ethan Allen Interiors Inc. Common Stock</t>
  </si>
  <si>
    <t>ETI^</t>
  </si>
  <si>
    <t>Entergy Texas Inc 5.375% Series A Preferred Stock Cumulative No Par Value</t>
  </si>
  <si>
    <t>ETJ</t>
  </si>
  <si>
    <t>Eaton Vance Risk-Managed Diversified Equity Income Fund Common Shares of Beneficial Interest</t>
  </si>
  <si>
    <t>ETN</t>
  </si>
  <si>
    <t>Eaton Corporation PLC Ordinary Shares</t>
  </si>
  <si>
    <t>ETO</t>
  </si>
  <si>
    <t>Eaton Vance Tax-Advantage Global Dividend Opp Common Stock</t>
  </si>
  <si>
    <t>ETR</t>
  </si>
  <si>
    <t>Entergy Corporation Common Stock</t>
  </si>
  <si>
    <t>ETRN</t>
  </si>
  <si>
    <t>Equitrans Midstream Corporation Common Stock</t>
  </si>
  <si>
    <t>ETV</t>
  </si>
  <si>
    <t>Eaton Vance Corporation Eaton Vance Tax-Managed Buy-Write Opportunities Fund Common Shares of Beneficial Interest</t>
  </si>
  <si>
    <t>ETW</t>
  </si>
  <si>
    <t>Eaton Vance Corporation Eaton Vance Tax-Managed Global Buy-Write Opportunites Fund Common Shares of Beneficial Interest</t>
  </si>
  <si>
    <t>ETWO</t>
  </si>
  <si>
    <t>E2open Parent Holdings Inc.Class A Common Stock</t>
  </si>
  <si>
    <t>ETX</t>
  </si>
  <si>
    <t>Eaton Vance Municipal Income 2028 Term Trust Common Shares of Beneficial Interest</t>
  </si>
  <si>
    <t>ETY</t>
  </si>
  <si>
    <t>Eaton Vance Tax-Managed Diversified Equity Income Fund Common Shares of Beneficial Interest</t>
  </si>
  <si>
    <t>EURN</t>
  </si>
  <si>
    <t>Euronav NV Ordinary Shares</t>
  </si>
  <si>
    <t>EVA</t>
  </si>
  <si>
    <t>Enviva Partners LP Common units representing limited partner interests</t>
  </si>
  <si>
    <t>EVC</t>
  </si>
  <si>
    <t>Entravision Communications Corporation Common Stock</t>
  </si>
  <si>
    <t>EVF</t>
  </si>
  <si>
    <t>Eaton Vance Senior Income Trust Common Stock</t>
  </si>
  <si>
    <t>EVG</t>
  </si>
  <si>
    <t>Eaton Vance Short Diversified Income Fund Eaton Vance Short Duration Diversified Income Fund Common Shares of Beneficial Interest</t>
  </si>
  <si>
    <t>EVH</t>
  </si>
  <si>
    <t>Evolent Health Inc Class A Common Stock</t>
  </si>
  <si>
    <t>EVN</t>
  </si>
  <si>
    <t>Eaton Vance Municipal Income Trust Common Stock</t>
  </si>
  <si>
    <t>EVR</t>
  </si>
  <si>
    <t>Evercore Inc. Class A Common Stock</t>
  </si>
  <si>
    <t>EVRG</t>
  </si>
  <si>
    <t>Evergy Inc. Common Stock</t>
  </si>
  <si>
    <t>EVRI</t>
  </si>
  <si>
    <t>Everi Holdings Inc. Common Stock</t>
  </si>
  <si>
    <t>EVT</t>
  </si>
  <si>
    <t>Eaton Vance Tax Advantaged Dividend Income Fund Common Shares of Beneficial Interest</t>
  </si>
  <si>
    <t>EVTC</t>
  </si>
  <si>
    <t>Evertec Inc. Common Stock</t>
  </si>
  <si>
    <t>EW</t>
  </si>
  <si>
    <t>Edwards Lifesciences Corporation Common Stock</t>
  </si>
  <si>
    <t>EXD</t>
  </si>
  <si>
    <t>Eaton Vance Tax-Managed Buy-Write Strategy Fund Common Shares of Beneficial Interest</t>
  </si>
  <si>
    <t>EXG</t>
  </si>
  <si>
    <t>Eaton Vance Tax-Managed Global Diversified Equity Income Fund Eaton Vance Tax-Managed Global Diversified Equity Income Fund Common Shares of Beneficial Interest</t>
  </si>
  <si>
    <t>EXK</t>
  </si>
  <si>
    <t>Endeavour Silver Corporation Ordinary Shares (Canada)</t>
  </si>
  <si>
    <t>EXP</t>
  </si>
  <si>
    <t>Eagle Materials Inc Common Stock</t>
  </si>
  <si>
    <t>EXPR</t>
  </si>
  <si>
    <t>Express Inc. Common Stock</t>
  </si>
  <si>
    <t>EXR</t>
  </si>
  <si>
    <t>Extra Space Storage Inc Common Stock</t>
  </si>
  <si>
    <t>EXTN</t>
  </si>
  <si>
    <t>Exterran Corporation Common Stock</t>
  </si>
  <si>
    <t>F</t>
  </si>
  <si>
    <t>Ford Motor Company Common Stock</t>
  </si>
  <si>
    <t>F^B</t>
  </si>
  <si>
    <t>Ford Motor Company 6.20% Notes due June 1 2059</t>
  </si>
  <si>
    <t>F^C</t>
  </si>
  <si>
    <t>Ford Motor Company 6% Notes due December 1 2059</t>
  </si>
  <si>
    <t>FACA</t>
  </si>
  <si>
    <t>Figure Acquisition Corp. I Class A Common Stock</t>
  </si>
  <si>
    <t>FACT</t>
  </si>
  <si>
    <t>Freedom Acquisition I Corp. Class A Ordinary Shares</t>
  </si>
  <si>
    <t>FAF</t>
  </si>
  <si>
    <t>First American Corporation (New) Common Stock</t>
  </si>
  <si>
    <t>FAM</t>
  </si>
  <si>
    <t>First Trust/Aberdeen Global Opportunity Income Fund First Trust/Aberdeen Global Opportunity Income Fund Common Shares of Beneficial Interest</t>
  </si>
  <si>
    <t>FBC</t>
  </si>
  <si>
    <t>Flagstar Bancorp Inc. Common Stock</t>
  </si>
  <si>
    <t>FBHS</t>
  </si>
  <si>
    <t>Fortune Brands Home &amp; Security Inc. Common Stock</t>
  </si>
  <si>
    <t>FBK</t>
  </si>
  <si>
    <t>FB Financial Corporation Common Stock</t>
  </si>
  <si>
    <t>FBP</t>
  </si>
  <si>
    <t>First BanCorp. New Common Stock</t>
  </si>
  <si>
    <t>FC</t>
  </si>
  <si>
    <t>Franklin Covey Company Common Stock</t>
  </si>
  <si>
    <t>FCAX</t>
  </si>
  <si>
    <t>Fortress Capital Acquisition Corp. Class A Ordinary Shares</t>
  </si>
  <si>
    <t>FCF</t>
  </si>
  <si>
    <t>First Commonwealth Financial Corporation Common Stock</t>
  </si>
  <si>
    <t>FCN</t>
  </si>
  <si>
    <t>FTI Consulting Inc. Common Stock</t>
  </si>
  <si>
    <t>FCPT</t>
  </si>
  <si>
    <t>Four Corners Property Trust Inc. Common Stock</t>
  </si>
  <si>
    <t>FCRX</t>
  </si>
  <si>
    <t>First Eagle Alternative Capital BDC Inc. 5.000% Notes due 2026</t>
  </si>
  <si>
    <t>FCT</t>
  </si>
  <si>
    <t>First Trust Senior Floating Rate Income Fund II Common Shares of Beneficial Interest</t>
  </si>
  <si>
    <t>FCX</t>
  </si>
  <si>
    <t>Freeport-McMoRan Inc. Common Stock</t>
  </si>
  <si>
    <t>FDEU</t>
  </si>
  <si>
    <t>First Trust Dynamic Europe Equity Income Fund Common Shares of Beneficial Interest</t>
  </si>
  <si>
    <t>FDP</t>
  </si>
  <si>
    <t>Fresh Del Monte Produce Inc. Common Stock</t>
  </si>
  <si>
    <t>FDX</t>
  </si>
  <si>
    <t>FedEx Corporation Common Stock</t>
  </si>
  <si>
    <t>FE</t>
  </si>
  <si>
    <t>FirstEnergy Corp. Common Stock</t>
  </si>
  <si>
    <t>FEDU</t>
  </si>
  <si>
    <t>Four Seasons Education (Cayman) Inc. American Depositary Shares each two ADSs representing one ordinary share</t>
  </si>
  <si>
    <t>FEI</t>
  </si>
  <si>
    <t>First Trust MLP and Energy Income Fund Common Shares of Beneficial Interest</t>
  </si>
  <si>
    <t>FENG</t>
  </si>
  <si>
    <t>Phoenix New Media Limited American Depositary Shares each representing 8 Class A ordinary shares.</t>
  </si>
  <si>
    <t>FEO</t>
  </si>
  <si>
    <t>First Trust/Aberdeen Emerging Opportunity Fund Common Shares of Beneficial Interest</t>
  </si>
  <si>
    <t>FERG</t>
  </si>
  <si>
    <t>Ferguson plc Ordinary Shares</t>
  </si>
  <si>
    <t>FET</t>
  </si>
  <si>
    <t>Forum Energy Technologies Inc. Common Stock</t>
  </si>
  <si>
    <t>FF</t>
  </si>
  <si>
    <t>FutureFuel Corp.  Common shares</t>
  </si>
  <si>
    <t>FFA</t>
  </si>
  <si>
    <t>First Trust Enhanced Equity Income Fund</t>
  </si>
  <si>
    <t>FFC</t>
  </si>
  <si>
    <t>Flaherty &amp; Crumrine Preferred and Income Securities Fund Incorporated</t>
  </si>
  <si>
    <t>FGB</t>
  </si>
  <si>
    <t>First Trust Specialty Finance and Financial Opportunities Fund</t>
  </si>
  <si>
    <t>FHI</t>
  </si>
  <si>
    <t>Federated Hermes Inc. Common Stock</t>
  </si>
  <si>
    <t>FHN</t>
  </si>
  <si>
    <t>First Horizon Corporation Common Stock</t>
  </si>
  <si>
    <t>FHN^B</t>
  </si>
  <si>
    <t>First Horizon Corporation Depositary Shares each representing a 1/400th interest in a share of Non-Cumulative Perpetual Preferred Stock Series B</t>
  </si>
  <si>
    <t>FHN^D</t>
  </si>
  <si>
    <t>First Horizon Corporation Depositary Shares each representing a 1/400th interest in a share of Non-Cumulative Perpetual Preferred Stock Series D</t>
  </si>
  <si>
    <t>FHN^E</t>
  </si>
  <si>
    <t>First Horizon Corporation Depositary Shares each representing a 1/4000th interest in a share of Non-Cumulative Perpetual Preferred Stock Series E</t>
  </si>
  <si>
    <t>FHN^F</t>
  </si>
  <si>
    <t>First Horizon Corporation Depositary Shares each representing 1/4000th Interest in a Share of Non-Cumulative Perpetual Preferred Stock Series F</t>
  </si>
  <si>
    <t>FHS</t>
  </si>
  <si>
    <t>First High-School Education Group Co. Ltd. American Depositary Shares</t>
  </si>
  <si>
    <t>FI</t>
  </si>
  <si>
    <t>Frank's International N.V. Common Stock</t>
  </si>
  <si>
    <t>FICO</t>
  </si>
  <si>
    <t>Fair Isaac Corproation Common Stock</t>
  </si>
  <si>
    <t>FIF</t>
  </si>
  <si>
    <t>First Trust Energy Infrastructure Fund Common Shares of Beneficial Interest</t>
  </si>
  <si>
    <t>FIGS</t>
  </si>
  <si>
    <t>FIGS Inc. Class A Common Stock</t>
  </si>
  <si>
    <t>FINS</t>
  </si>
  <si>
    <t>Angel Oak Financial Strategies Income Term Trust Common Shares of Beneficial Interest</t>
  </si>
  <si>
    <t>FINV</t>
  </si>
  <si>
    <t>FinVolution Group American Depositary Shares</t>
  </si>
  <si>
    <t>FIS</t>
  </si>
  <si>
    <t>Fidelity National Information Services Inc. Common Stock</t>
  </si>
  <si>
    <t>FIV</t>
  </si>
  <si>
    <t>First Trust Senior Floating Rate 2022 Target Term Fund Common Shares of Beneficial Interest</t>
  </si>
  <si>
    <t>FIX</t>
  </si>
  <si>
    <t>Comfort Systems USA Inc. Common Stock</t>
  </si>
  <si>
    <t>FL</t>
  </si>
  <si>
    <t>Foot Locker Inc.</t>
  </si>
  <si>
    <t>FLC</t>
  </si>
  <si>
    <t>Flaherty &amp; Crumrine Total Return Fund Inc Common Stock</t>
  </si>
  <si>
    <t>FLME</t>
  </si>
  <si>
    <t>Flame Acquisition Corp. Class A Common Stock</t>
  </si>
  <si>
    <t>FLNG</t>
  </si>
  <si>
    <t>FLEX LNG Ltd. Ordinary Shares</t>
  </si>
  <si>
    <t>FLO</t>
  </si>
  <si>
    <t>Flowers Foods Inc. Common Stock</t>
  </si>
  <si>
    <t>FLOW</t>
  </si>
  <si>
    <t>SPX FLOW Inc. Common Stock</t>
  </si>
  <si>
    <t>FLR</t>
  </si>
  <si>
    <t>Fluor Corporation Common Stock</t>
  </si>
  <si>
    <t>FLS</t>
  </si>
  <si>
    <t>Flowserve Corporation Common Stock</t>
  </si>
  <si>
    <t>FLT</t>
  </si>
  <si>
    <t>FleetCor Technologies Inc. Common Stock</t>
  </si>
  <si>
    <t>FMAC</t>
  </si>
  <si>
    <t>FirstMark Horizon Acquisition Corp. Class A Common Stock</t>
  </si>
  <si>
    <t>FMC</t>
  </si>
  <si>
    <t>FMC Corporation Common Stock</t>
  </si>
  <si>
    <t>FMN</t>
  </si>
  <si>
    <t>Federated Hermes Premier Municipal Income Fund</t>
  </si>
  <si>
    <t>FMO</t>
  </si>
  <si>
    <t>Fiduciary/Claymore Energy Infrastructure Fund Common Shares of Beneficial Interest</t>
  </si>
  <si>
    <t>FMS</t>
  </si>
  <si>
    <t>Fresenius Medical Care AG Common Stock</t>
  </si>
  <si>
    <t>FMX</t>
  </si>
  <si>
    <t>Fomento Economico Mexicano S.A.B. de C.V. Common Stock</t>
  </si>
  <si>
    <t>FMY</t>
  </si>
  <si>
    <t>First Trust Motgage Income Fund Common Shares of Beneficial Interest</t>
  </si>
  <si>
    <t>FN</t>
  </si>
  <si>
    <t>Fabrinet Ordinary Shares</t>
  </si>
  <si>
    <t>FNB</t>
  </si>
  <si>
    <t>F.N.B. Corporation Common Stock</t>
  </si>
  <si>
    <t>FNB^E</t>
  </si>
  <si>
    <t>F.N.B. Corporation Depositary Shares each representing a 1/40th interest in a share of Fixed-to-Floating Rate Non-Cumulative Perpetual Preferred  Stock Series E</t>
  </si>
  <si>
    <t>FND</t>
  </si>
  <si>
    <t>Floor &amp; Decor Holdings Inc. Common Stock</t>
  </si>
  <si>
    <t>FNF</t>
  </si>
  <si>
    <t>FNF Group of Fidelity National Financial Inc. Common Stock</t>
  </si>
  <si>
    <t>FNV</t>
  </si>
  <si>
    <t>Franco-Nevada Corporation</t>
  </si>
  <si>
    <t>FOA</t>
  </si>
  <si>
    <t>Finance of America Companies Inc. Class A Common Stock</t>
  </si>
  <si>
    <t>FOE</t>
  </si>
  <si>
    <t>Ferro Corporation Common Stock</t>
  </si>
  <si>
    <t>FOF</t>
  </si>
  <si>
    <t>Cohen &amp; Steers Closed-End Opportunity Fund Inc. Common Stock</t>
  </si>
  <si>
    <t>FOR</t>
  </si>
  <si>
    <t>Forestar Group Inc Common Stock</t>
  </si>
  <si>
    <t>FOUR</t>
  </si>
  <si>
    <t>Shift4 Payments Inc. Class A Common Stock</t>
  </si>
  <si>
    <t>FPAC</t>
  </si>
  <si>
    <t>Far Peak Acquisition Corporation Class A Ordinary Shares</t>
  </si>
  <si>
    <t>FPF</t>
  </si>
  <si>
    <t>First Trust Intermediate Duration Preferred &amp; Income Fund Common Shares of Beneficial Interest</t>
  </si>
  <si>
    <t>FPH</t>
  </si>
  <si>
    <t>Five Point Holdings LLC Class A Common Shares</t>
  </si>
  <si>
    <t>FPI</t>
  </si>
  <si>
    <t>Farmland Partners Inc. Common Stock</t>
  </si>
  <si>
    <t>FPI^B</t>
  </si>
  <si>
    <t>Farmland Partners Inc. Series B Participating Preferred Stock</t>
  </si>
  <si>
    <t>FPL</t>
  </si>
  <si>
    <t>First Trust New Opportunities MLP &amp; Energy Fund Common Shares of Beneficial Interest</t>
  </si>
  <si>
    <t>FR</t>
  </si>
  <si>
    <t>First Industrial Realty Trust Inc. Common Stock</t>
  </si>
  <si>
    <t>FRA</t>
  </si>
  <si>
    <t>Blackrock Floating Rate Income Strategies Fund Inc  Common Stock</t>
  </si>
  <si>
    <t>FRC</t>
  </si>
  <si>
    <t>FIRST REPUBLIC BANK Common Stock</t>
  </si>
  <si>
    <t>FRC^H</t>
  </si>
  <si>
    <t>FIRST REPUBLIC BANK Depositary Shares each representing a 1/40th interest in a share of 5.125% Noncumulative Perpetual Series H Preferred Stock par value $0.01 per share</t>
  </si>
  <si>
    <t>FRC^I</t>
  </si>
  <si>
    <t>FIRST REPUBLIC BANK Depositary Shares each representing a 1/40th interest in a share of 5.50% Noncumulative Perpetual Series I Preferred Stock par value $0.01 per share</t>
  </si>
  <si>
    <t>FRC^J</t>
  </si>
  <si>
    <t>FIRST REPUBLIC BANK Depositary Shares Each Representing a 1/40th Interest in a Share of 4.70% Noncumulative Perpetual Series J Preferred Stock</t>
  </si>
  <si>
    <t>FRC^K</t>
  </si>
  <si>
    <t>FIRST REPUBLIC BANK Depositary Shares Each Representing a 1/40th Interest in a Share of 4.125% Noncumulative Perpetual Series K Preferred Stock</t>
  </si>
  <si>
    <t>FRC^L</t>
  </si>
  <si>
    <t>FIRST REPUBLIC BANK Depositary Shares Each Representing a 1/40th Interest in a Share of 4.250% Noncumulative Perpetual Series L Preferred Stock</t>
  </si>
  <si>
    <t>FRC^M</t>
  </si>
  <si>
    <t>FIRST REPUBLIC BANK Depositary Shares each representing a 1/40th interest in a share of 4.000% Noncumulative Perpetual Series M Preferred Stock</t>
  </si>
  <si>
    <t>FREY</t>
  </si>
  <si>
    <t>FREYR Battery Ordinary Shares</t>
  </si>
  <si>
    <t>FRO</t>
  </si>
  <si>
    <t>Frontline Ltd. Ordinary Shares</t>
  </si>
  <si>
    <t>FRT</t>
  </si>
  <si>
    <t>Federal Realty Investment Trust Common Stock</t>
  </si>
  <si>
    <t>FRT^C</t>
  </si>
  <si>
    <t>Federal Realty Investment Trust Depositary Shares each representing a 1/1000th interest in a 5.000% Series C Cumulative Redeemable Preferred Share</t>
  </si>
  <si>
    <t>FRXB</t>
  </si>
  <si>
    <t>Forest Road Acquisition Corp. II Class A Common Stock</t>
  </si>
  <si>
    <t>FSD</t>
  </si>
  <si>
    <t>First Trust High Income Long Short Fund Common Shares of Beneficial Interest</t>
  </si>
  <si>
    <t>FSK</t>
  </si>
  <si>
    <t>FS KKR Capital Corp. Common Stock</t>
  </si>
  <si>
    <t>FSLY</t>
  </si>
  <si>
    <t>Fastly Inc. Class A Common Stock</t>
  </si>
  <si>
    <t>FSM</t>
  </si>
  <si>
    <t>Fortuna Silver Mines Inc Ordinary Shares (Canada)</t>
  </si>
  <si>
    <t>FSNB</t>
  </si>
  <si>
    <t>Fusion Acquisition Corp. II Class A Common Stock</t>
  </si>
  <si>
    <t>FSR</t>
  </si>
  <si>
    <t>Fisker Inc. Class A Common Stock</t>
  </si>
  <si>
    <t>FSS</t>
  </si>
  <si>
    <t>Federal Signal Corporation Common Stock</t>
  </si>
  <si>
    <t>FST</t>
  </si>
  <si>
    <t>FAST Acquisition Corp. Class A Common Stock</t>
  </si>
  <si>
    <t>FT</t>
  </si>
  <si>
    <t>Franklin Universal Trust Common Stock</t>
  </si>
  <si>
    <t>FTAI</t>
  </si>
  <si>
    <t>Fortress Transportation and Infrastructure Investors LLC Common Shares</t>
  </si>
  <si>
    <t>FTAI^A</t>
  </si>
  <si>
    <t>Fortress Transportation and Infrastructure Investors LLC 8.25% Fixed to Floating Rate Series A Cumulative Perpetual Redeemable Preferred Shares</t>
  </si>
  <si>
    <t>FTAI^B</t>
  </si>
  <si>
    <t>Fortress Transportation and Infrastructure Investors LLC 8.00% Fixed-to-Floating Rate Series B Cumulative Perpetual Redeemable Preferred Shares</t>
  </si>
  <si>
    <t>FTAI^C</t>
  </si>
  <si>
    <t>Fortress Transportation and Infrastructure Investors LLC 8.25% Fixed - Rate Reset Series C Cumulative Perpetual Redeemable Preferred Shares</t>
  </si>
  <si>
    <t>FTCH</t>
  </si>
  <si>
    <t>Farfetch Limited Class A Ordinary Shares</t>
  </si>
  <si>
    <t>FTEV</t>
  </si>
  <si>
    <t>FinTech Evolution Acquisition Group Class A Ordinary Shares</t>
  </si>
  <si>
    <t>FTHY</t>
  </si>
  <si>
    <t>First Trust High Yield Opportunities 2027 Term Fund Common Stock</t>
  </si>
  <si>
    <t>FTI</t>
  </si>
  <si>
    <t>TechnipFMC plc Ordinary Share</t>
  </si>
  <si>
    <t>FTK</t>
  </si>
  <si>
    <t>Flotek Industries Inc. Common Stock</t>
  </si>
  <si>
    <t>FTS</t>
  </si>
  <si>
    <t>Fortis Inc. Common Shares</t>
  </si>
  <si>
    <t>FTV</t>
  </si>
  <si>
    <t>Fortive Corporation Common Stock</t>
  </si>
  <si>
    <t>FUBO</t>
  </si>
  <si>
    <t>fuboTV Inc. Common Stock</t>
  </si>
  <si>
    <t>FUL</t>
  </si>
  <si>
    <t>H. B. Fuller Company Common Stock</t>
  </si>
  <si>
    <t>FUN</t>
  </si>
  <si>
    <t>Cedar Fair L.P. Common Stock</t>
  </si>
  <si>
    <t>FUSE</t>
  </si>
  <si>
    <t>Fusion Acquisition Corp. Class A Common Stock</t>
  </si>
  <si>
    <t>FVIV</t>
  </si>
  <si>
    <t>Fortress Value Acquisition Corp. IV Class A Common Stock</t>
  </si>
  <si>
    <t>FVRR</t>
  </si>
  <si>
    <t>Fiverr International Ltd. Ordinary Shares no par value</t>
  </si>
  <si>
    <t>FVT</t>
  </si>
  <si>
    <t>Fortress Value Acquisition Corp. III Class A Common Stock</t>
  </si>
  <si>
    <t>FXLV</t>
  </si>
  <si>
    <t>F45 Training Holdings Inc. Common Stock</t>
  </si>
  <si>
    <t>FZT</t>
  </si>
  <si>
    <t>FAST Acquisition Corp. II Class A Common Stock</t>
  </si>
  <si>
    <t>G</t>
  </si>
  <si>
    <t>Genpact Limited Common Stock</t>
  </si>
  <si>
    <t>GAB</t>
  </si>
  <si>
    <t>Gabelli Equity Trust Inc. (The) Common Stock</t>
  </si>
  <si>
    <t>GAB^G</t>
  </si>
  <si>
    <t>Gabelli Equity Trust Inc. (The) Series G Cumulative Preferred Stock</t>
  </si>
  <si>
    <t>GAB^H</t>
  </si>
  <si>
    <t>Gabelli Equity Trust Inc. (The) Pfd Ser H</t>
  </si>
  <si>
    <t>GAB^J</t>
  </si>
  <si>
    <t>Gabelli Equity Trust Inc. (The) 5.45% Series J Cumulative Preferred Stock</t>
  </si>
  <si>
    <t>GAB^K</t>
  </si>
  <si>
    <t>Gabelli Equity Trust Inc. (The) 5.00% Series K Cumulative Preferred Stock</t>
  </si>
  <si>
    <t>GAM</t>
  </si>
  <si>
    <t>General American Investors Inc. Common Stock</t>
  </si>
  <si>
    <t>GAM^B</t>
  </si>
  <si>
    <t>General American Investors Company Inc. Cumulative Preferred Stock</t>
  </si>
  <si>
    <t>GAPA</t>
  </si>
  <si>
    <t>G&amp;P Acquisition Corp. Class A Common Stock</t>
  </si>
  <si>
    <t>GATO</t>
  </si>
  <si>
    <t>Gatos Silver Inc. Common Stock</t>
  </si>
  <si>
    <t>GATX</t>
  </si>
  <si>
    <t>GATX Corporation Common Stock</t>
  </si>
  <si>
    <t>GB</t>
  </si>
  <si>
    <t>Global Blue Group Holding AG Ordinary Shares</t>
  </si>
  <si>
    <t>GBAB</t>
  </si>
  <si>
    <t>Guggenheim Taxable Municipal Bond &amp; Investment Grade Debt Trust Common Shares of Beneficial Interest</t>
  </si>
  <si>
    <t>GBL</t>
  </si>
  <si>
    <t>Gamco Investors Inc. Common Stock</t>
  </si>
  <si>
    <t>GBX</t>
  </si>
  <si>
    <t>Greenbrier Companies Inc. (The) Common Stock</t>
  </si>
  <si>
    <t>GCI</t>
  </si>
  <si>
    <t>Gannett Co. Inc. Common Stock</t>
  </si>
  <si>
    <t>GCO</t>
  </si>
  <si>
    <t>Genesco Inc. Common Stock</t>
  </si>
  <si>
    <t>GCP</t>
  </si>
  <si>
    <t>GCP Applied Technologies Inc. Common Stock</t>
  </si>
  <si>
    <t>GCV</t>
  </si>
  <si>
    <t>Gabelli Convertible and Income Securities Fund Inc. (The) Common Stock</t>
  </si>
  <si>
    <t>GD</t>
  </si>
  <si>
    <t>General Dynamics Corporation Common Stock</t>
  </si>
  <si>
    <t>GDDY</t>
  </si>
  <si>
    <t>GoDaddy Inc. Class A Common Stock</t>
  </si>
  <si>
    <t>GDL</t>
  </si>
  <si>
    <t>GDL Fund The Common Shares of Beneficial Interest</t>
  </si>
  <si>
    <t>GDO</t>
  </si>
  <si>
    <t>Western Asset Global Corporate Defined Opportunity Fund Inc. Western Asset Global Corporate Defined Opportunity Fund Inc.</t>
  </si>
  <si>
    <t>GDOT</t>
  </si>
  <si>
    <t>Green Dot Corporation Class A Common Stock $0.001 par value</t>
  </si>
  <si>
    <t>GDV</t>
  </si>
  <si>
    <t>Gabelli Dividend &amp; Income Trust Common Shares of Beneficial Interest</t>
  </si>
  <si>
    <t>GDV^G</t>
  </si>
  <si>
    <t>Gabelli Dividend 5.25% Series G Cumulative Preferred Shares par value $0.001 per share</t>
  </si>
  <si>
    <t>GDV^H</t>
  </si>
  <si>
    <t>The Gabelli Dividend &amp; Income Trust 5.375% Series H Cumulative Preferred Shares</t>
  </si>
  <si>
    <t>GE</t>
  </si>
  <si>
    <t>General Electric Company Common Stock</t>
  </si>
  <si>
    <t>GEF</t>
  </si>
  <si>
    <t>Greif Inc. Class A Common Stock</t>
  </si>
  <si>
    <t>GEL</t>
  </si>
  <si>
    <t>Genesis Energy L.P. Common Units</t>
  </si>
  <si>
    <t>GENI</t>
  </si>
  <si>
    <t>Genius Sports Limited Ordinary Shares</t>
  </si>
  <si>
    <t>GEO</t>
  </si>
  <si>
    <t>Geo Group Inc (The) REIT</t>
  </si>
  <si>
    <t>GER</t>
  </si>
  <si>
    <t>Goldman Sachs MLP Energy Renaissance Fund</t>
  </si>
  <si>
    <t>GES</t>
  </si>
  <si>
    <t>Guess? Inc. Common Stock</t>
  </si>
  <si>
    <t>GF</t>
  </si>
  <si>
    <t>New Germany Fund Inc. (The) Common Stock</t>
  </si>
  <si>
    <t>GFF</t>
  </si>
  <si>
    <t>Griffon Corporation Common Stock</t>
  </si>
  <si>
    <t>GFI</t>
  </si>
  <si>
    <t>Gold Fields Limited American Depositary Shares</t>
  </si>
  <si>
    <t>GFL</t>
  </si>
  <si>
    <t>GFL Environmental Inc. Subordinate voting shares no par value</t>
  </si>
  <si>
    <t>GFLU</t>
  </si>
  <si>
    <t>GFL Environmental Inc. Tangible Equity Units</t>
  </si>
  <si>
    <t>GFOR</t>
  </si>
  <si>
    <t>Graf Acquisition Corp. IV Common Stock</t>
  </si>
  <si>
    <t>GFX</t>
  </si>
  <si>
    <t>Golden Falcon Acquisition Corp. Class A Common Stock</t>
  </si>
  <si>
    <t>GGB</t>
  </si>
  <si>
    <t>Gerdau S.A. Common Stock</t>
  </si>
  <si>
    <t>GGG</t>
  </si>
  <si>
    <t>Graco Inc. Common Stock</t>
  </si>
  <si>
    <t>GGM</t>
  </si>
  <si>
    <t>Guggenheim Credit Allocation Fund Common Shares of Beneficial Interest</t>
  </si>
  <si>
    <t>GGT</t>
  </si>
  <si>
    <t>Gabelli Multi-Media Trust Inc. (The) Common Stock</t>
  </si>
  <si>
    <t>GGT^E</t>
  </si>
  <si>
    <t>Gabelli Multi-Media Trust Inc. (The) 5.125% Series E Cumulative Preferred Stock</t>
  </si>
  <si>
    <t>GGT^G</t>
  </si>
  <si>
    <t>Gabelli Multi-Media Trust Inc. (The) 5.125% Series G Cumulative Preferred Shares</t>
  </si>
  <si>
    <t>GGZ</t>
  </si>
  <si>
    <t>Gabelli Global Small and Mid Cap Value Trust (The) Common Shares of Beneficial Interest</t>
  </si>
  <si>
    <t>GGZ^A</t>
  </si>
  <si>
    <t>Gabelli Global Small and Mid Cap Value Trust (The) 5.450% Series A Cumulative Preferred Shares (Liquidation Preference $25.00 per share)</t>
  </si>
  <si>
    <t>GHC</t>
  </si>
  <si>
    <t>Graham Holdings Company Common Stock</t>
  </si>
  <si>
    <t>GHG</t>
  </si>
  <si>
    <t>GreenTree Hospitality Group Ltd. American depositary shares each representing one Class A ordinary share</t>
  </si>
  <si>
    <t>GHL</t>
  </si>
  <si>
    <t>Greenhill &amp; Co. Inc. Common Stock</t>
  </si>
  <si>
    <t>GHLD</t>
  </si>
  <si>
    <t>Guild Holdings Company Class A Common Stock</t>
  </si>
  <si>
    <t>GHM</t>
  </si>
  <si>
    <t>Graham Corporation Common Stock</t>
  </si>
  <si>
    <t>GHY</t>
  </si>
  <si>
    <t>PGIM Global High Yield Fund Inc.</t>
  </si>
  <si>
    <t>GIB</t>
  </si>
  <si>
    <t>CGI Inc. Common Stock</t>
  </si>
  <si>
    <t>GIC</t>
  </si>
  <si>
    <t>Global Industrial Company Common Stock</t>
  </si>
  <si>
    <t>GIL</t>
  </si>
  <si>
    <t>Gildan Activewear Inc. Class A Sub. Vot. Common Stock</t>
  </si>
  <si>
    <t>GIM</t>
  </si>
  <si>
    <t>Templeton Global Income Fund Inc. Common Stock</t>
  </si>
  <si>
    <t>GIS</t>
  </si>
  <si>
    <t>General Mills Inc. Common Stock</t>
  </si>
  <si>
    <t>GJH</t>
  </si>
  <si>
    <t>Synthetic Fixed-Income Securities Inc 6.375% (STRATS) Cl A-1</t>
  </si>
  <si>
    <t>GJO</t>
  </si>
  <si>
    <t>Synthetic Fixed-Income Securities Inc. Synthetic Fixed-Income Securities Inc. on behalf of STRATS(SM) Trust for Wal-Mart Stores Inc. Securities Series 2004-5</t>
  </si>
  <si>
    <t>GKOS</t>
  </si>
  <si>
    <t>Glaukos Corporation Common Stock</t>
  </si>
  <si>
    <t>GL</t>
  </si>
  <si>
    <t>Globe Life Inc. Common Stock</t>
  </si>
  <si>
    <t>GL^D</t>
  </si>
  <si>
    <t>Globe Life Inc. 4.25% Junior Subordinated Debentures due 2061</t>
  </si>
  <si>
    <t>GLEO</t>
  </si>
  <si>
    <t>Galileo Acquisition Corp. Ordinary Shares</t>
  </si>
  <si>
    <t>GLOB</t>
  </si>
  <si>
    <t>Globant S.A. Common Shares</t>
  </si>
  <si>
    <t>GLOG^A</t>
  </si>
  <si>
    <t>GasLog LP. 8.75% Series A Cumulative Redeemable Perpetual Preference Shares</t>
  </si>
  <si>
    <t>GLOP</t>
  </si>
  <si>
    <t>GasLog Partners LP Common Units representing limited partnership interests</t>
  </si>
  <si>
    <t>GLOP^A</t>
  </si>
  <si>
    <t>GasLog Partners LP 8.625% Series A Cumulative Redeemable Perpetual Fixed to Floating Rate Preference Units</t>
  </si>
  <si>
    <t>GLOP^B</t>
  </si>
  <si>
    <t>GasLog Partners LP 8.200% Series B Cumulative Redeemable Perpetual Fixed to Floating Rate Preference Units</t>
  </si>
  <si>
    <t>GLOP^C</t>
  </si>
  <si>
    <t>GasLog Partners LP 8.500% Series C Cumulative Redeemable Perpetual Fixed to Floating Rate Preference Units</t>
  </si>
  <si>
    <t>GLP</t>
  </si>
  <si>
    <t>Global Partners LP Global Partners LP Common Units representing Limited Partner Interests</t>
  </si>
  <si>
    <t>GLP^A</t>
  </si>
  <si>
    <t>Global Partners LP 9.75% Series A Fixed-to-Floating Rate Cumulative Redeemable Perpetual Preferred Units representing limited partner interests</t>
  </si>
  <si>
    <t>GLP^B</t>
  </si>
  <si>
    <t>Global Partners LP 9.50% Series B Fixed Rate Cumulative Redeemable Perpetual Preferred Units representing limited partner interests</t>
  </si>
  <si>
    <t>GLT</t>
  </si>
  <si>
    <t>Glatfelter Corporation Common Stock</t>
  </si>
  <si>
    <t>GLW</t>
  </si>
  <si>
    <t>Corning Incorporated Common Stock</t>
  </si>
  <si>
    <t>GM</t>
  </si>
  <si>
    <t>General Motors Company Common Stock</t>
  </si>
  <si>
    <t>GME</t>
  </si>
  <si>
    <t>GameStop Corporation Common Stock</t>
  </si>
  <si>
    <t>GMED</t>
  </si>
  <si>
    <t>Globus Medical Inc. Class A Common Stock</t>
  </si>
  <si>
    <t>GMRE</t>
  </si>
  <si>
    <t>Global Medical REIT Inc. Common Stock</t>
  </si>
  <si>
    <t>GMRE^A</t>
  </si>
  <si>
    <t>Global Medical REIT Inc. Series A Cumulative Redeemable Preferred Stock</t>
  </si>
  <si>
    <t>GMS</t>
  </si>
  <si>
    <t>GMS Inc. Common Stock</t>
  </si>
  <si>
    <t>GNE</t>
  </si>
  <si>
    <t>Genie Energy Ltd. Class B Common Stock Stock</t>
  </si>
  <si>
    <t>GNE^A</t>
  </si>
  <si>
    <t>Genie Energy Ltd. Series 2012 - A Preferred Stock $0.01 par value</t>
  </si>
  <si>
    <t>GNK</t>
  </si>
  <si>
    <t>Genco Shipping &amp; Trading Limited Ordinary Shares New (Marshall Islands)</t>
  </si>
  <si>
    <t>GNL</t>
  </si>
  <si>
    <t>Global Net Lease Inc. Common Stock</t>
  </si>
  <si>
    <t>GNL^A</t>
  </si>
  <si>
    <t>Global Net Lease Inc. 7.25% Series A Cumulative Redeemable Preferred Stock $0.01 par value per share</t>
  </si>
  <si>
    <t>GNL^B</t>
  </si>
  <si>
    <t>Global Net Lease Inc. 6.875% Series B Cumulative Redeemable Perpetual Preferred Stock</t>
  </si>
  <si>
    <t>GNPK</t>
  </si>
  <si>
    <t>Genesis Park Acquisition Corp. Class A Ordinary Shares</t>
  </si>
  <si>
    <t>GNRC</t>
  </si>
  <si>
    <t>Generac Holdlings Inc. Common Stock</t>
  </si>
  <si>
    <t>GNT</t>
  </si>
  <si>
    <t>GAMCO Natural Resources Gold &amp; Income Trust</t>
  </si>
  <si>
    <t>GNT^A</t>
  </si>
  <si>
    <t>GAMCO Natural Resources Gold &amp; Income Tust  5.20% Series A Cumulative Preferred Shares (Liquidation Preference $25.00 per share)</t>
  </si>
  <si>
    <t>GNW</t>
  </si>
  <si>
    <t>Genworth Financial Inc Common Stock</t>
  </si>
  <si>
    <t>GOAC</t>
  </si>
  <si>
    <t>GO Acquisition Corp. Class A Common Stock</t>
  </si>
  <si>
    <t>GOF</t>
  </si>
  <si>
    <t>Guggenheim Strategic Opportunities Fund Common Shares of Beneficial Interest</t>
  </si>
  <si>
    <t>GOL</t>
  </si>
  <si>
    <t>Gol Linhas Aereas Inteligentes S.A. Sponsored ADR representing 2 Pfd Shares</t>
  </si>
  <si>
    <t>GOLD</t>
  </si>
  <si>
    <t>Barrick Gold Corporation Common Stock (BC)</t>
  </si>
  <si>
    <t>GOLF</t>
  </si>
  <si>
    <t>Acushnet Holdings Corp. Common Stock</t>
  </si>
  <si>
    <t>GOOS</t>
  </si>
  <si>
    <t>Canada Goose Holdings Inc. Subordinate Voting Shares</t>
  </si>
  <si>
    <t>GOTU</t>
  </si>
  <si>
    <t>Gaotu Techedu Inc. American Depositary Shares</t>
  </si>
  <si>
    <t>GPC</t>
  </si>
  <si>
    <t>Genuine Parts Company Common Stock</t>
  </si>
  <si>
    <t>GPI</t>
  </si>
  <si>
    <t>Group 1 Automotive Inc. Common Stock</t>
  </si>
  <si>
    <t>GPJA</t>
  </si>
  <si>
    <t>Georgia Power Company Series 2017A 5.00% Junior Subordinated Notes due October 1 2077</t>
  </si>
  <si>
    <t>GPK</t>
  </si>
  <si>
    <t>Graphic Packaging Holding Company</t>
  </si>
  <si>
    <t>GPM</t>
  </si>
  <si>
    <t>Guggenheim Enhanced Equity Income Fund</t>
  </si>
  <si>
    <t>GPMT</t>
  </si>
  <si>
    <t>Granite Point Mortgage Trust Inc. Common Stock</t>
  </si>
  <si>
    <t>GPN</t>
  </si>
  <si>
    <t>Global Payments Inc. Common Stock</t>
  </si>
  <si>
    <t>GPOR</t>
  </si>
  <si>
    <t>Gulfport Energy Corporation Common Shares</t>
  </si>
  <si>
    <t>GPRK</t>
  </si>
  <si>
    <t>Geopark Ltd Common Shares</t>
  </si>
  <si>
    <t>GPS</t>
  </si>
  <si>
    <t>Gap Inc. (The) Common Stock</t>
  </si>
  <si>
    <t>GPX</t>
  </si>
  <si>
    <t>GP Strategies Corporation Common Stock</t>
  </si>
  <si>
    <t>GRA</t>
  </si>
  <si>
    <t>W.R. Grace &amp; Co. Common Stock</t>
  </si>
  <si>
    <t>GRC</t>
  </si>
  <si>
    <t>Gorman-Rupp Company (The) Common Stock</t>
  </si>
  <si>
    <t>GRX</t>
  </si>
  <si>
    <t>The Gabelli Healthcare &amp; Wellness Trust Common Shares of Beneficial Interest</t>
  </si>
  <si>
    <t>GS</t>
  </si>
  <si>
    <t>Goldman Sachs Group Inc. (The) Common Stock</t>
  </si>
  <si>
    <t>GS^A</t>
  </si>
  <si>
    <t>Goldman Sachs Group Inc. (The) Depositary Shares each representing 1/1000th Interest in a Share of Floating Rate Non-Cumulative Preferred Stock Series A</t>
  </si>
  <si>
    <t>GS^C</t>
  </si>
  <si>
    <t>Goldman Sachs Group Inc. (The) Depositary Share repstg 1/1000th Preferred Series C</t>
  </si>
  <si>
    <t>GS^D</t>
  </si>
  <si>
    <t>Goldman Sachs Group Inc. (The) Dep Shs repstg 1/1000 Pfd Ser D Fltg</t>
  </si>
  <si>
    <t>GS^J</t>
  </si>
  <si>
    <t>Goldman Sachs Group Inc Depositary Shs Repstg 1/1000th Pfd Ser J Fixed to Fltg Rate</t>
  </si>
  <si>
    <t>GS^K</t>
  </si>
  <si>
    <t>Goldman Sachs Group Inc. (The) Dep Shs Repstg 1/1000 Int Sh Fxd/Fltg Non Cum Pfd Stk Ser K</t>
  </si>
  <si>
    <t>GSAH</t>
  </si>
  <si>
    <t>GS Acquisition Holdings Corp II Class A Common Stock</t>
  </si>
  <si>
    <t>GSBD</t>
  </si>
  <si>
    <t>Goldman Sachs BDC Inc. Common Stock</t>
  </si>
  <si>
    <t>GSK</t>
  </si>
  <si>
    <t>GlaxoSmithKline PLC Common Stock</t>
  </si>
  <si>
    <t>GSL</t>
  </si>
  <si>
    <t>Global Ship Lease Inc New Class A Common Shares</t>
  </si>
  <si>
    <t>GSL^B</t>
  </si>
  <si>
    <t>Global Ship Lease Inc. Depository Shares Representing 1/100th Perpetual Preferred Series B% (Marshall Island)</t>
  </si>
  <si>
    <t>GSLD</t>
  </si>
  <si>
    <t>Global Ship Lease Inc. 8.00% Senior Notes due 2024</t>
  </si>
  <si>
    <t>GSQB</t>
  </si>
  <si>
    <t>G Squared Ascend II Inc. Class A Ordinary Shares</t>
  </si>
  <si>
    <t>GSQD</t>
  </si>
  <si>
    <t>G Squared Ascend I Inc. Class A Ordinary Shares</t>
  </si>
  <si>
    <t>GTES</t>
  </si>
  <si>
    <t>Gates Industrial Corporation plc Ordinary Shares</t>
  </si>
  <si>
    <t>GTLS</t>
  </si>
  <si>
    <t>Chart Industries Inc. Common Stock</t>
  </si>
  <si>
    <t>GTN</t>
  </si>
  <si>
    <t>Gray Television Inc. Common Stock</t>
  </si>
  <si>
    <t>GTS</t>
  </si>
  <si>
    <t>Triple-S Management Corporation Common Stock</t>
  </si>
  <si>
    <t>GTY</t>
  </si>
  <si>
    <t>Getty Realty Corporation Common Stock</t>
  </si>
  <si>
    <t>GUT</t>
  </si>
  <si>
    <t>Gabelli Utility Trust (The) Common Stock</t>
  </si>
  <si>
    <t>GUT^A</t>
  </si>
  <si>
    <t>Gabelli Utility Trust (The) 5.625% Series A Cumulative Preferred Shares</t>
  </si>
  <si>
    <t>GUT^C</t>
  </si>
  <si>
    <t>Gabelli Utility Trust (The) 5.375% Series C Cumulative Preferred Shares</t>
  </si>
  <si>
    <t>GVA</t>
  </si>
  <si>
    <t>Granite Construction Incorporated Common Stock</t>
  </si>
  <si>
    <t>GWB</t>
  </si>
  <si>
    <t>Great Western Bancorp Inc. Common Stock</t>
  </si>
  <si>
    <t>GWRE</t>
  </si>
  <si>
    <t>Guidewire Software Inc. Common Stock</t>
  </si>
  <si>
    <t>GWW</t>
  </si>
  <si>
    <t>W.W. Grainger Inc. Common Stock</t>
  </si>
  <si>
    <t>GXO</t>
  </si>
  <si>
    <t>GXO Logistics Inc. Common Stock</t>
  </si>
  <si>
    <t>H</t>
  </si>
  <si>
    <t>Hyatt Hotels Corporation Class A Common Stock</t>
  </si>
  <si>
    <t>HAE</t>
  </si>
  <si>
    <t>Haemonetics Corporation Common Stock</t>
  </si>
  <si>
    <t>HAL</t>
  </si>
  <si>
    <t>Halliburton Company Common Stock</t>
  </si>
  <si>
    <t>HASI</t>
  </si>
  <si>
    <t>Hannon Armstrong Sustainable Infrastructure Capital Inc. Common Stock</t>
  </si>
  <si>
    <t>HAYW</t>
  </si>
  <si>
    <t>Hayward Holdings Inc. Common Stock</t>
  </si>
  <si>
    <t>HBB</t>
  </si>
  <si>
    <t>Hamilton Beach Brands Holding Company Class A Common Stock</t>
  </si>
  <si>
    <t>HBI</t>
  </si>
  <si>
    <t>Hanesbrands Inc. Common Stock</t>
  </si>
  <si>
    <t>HBM</t>
  </si>
  <si>
    <t>Hudbay Minerals Inc. Ordinary Shares (Canada)</t>
  </si>
  <si>
    <t>HCA</t>
  </si>
  <si>
    <t>HCA Healthcare Inc. Common Stock</t>
  </si>
  <si>
    <t>HCC</t>
  </si>
  <si>
    <t>Warrior Met Coal Inc. Common Stock</t>
  </si>
  <si>
    <t>HCHC</t>
  </si>
  <si>
    <t>HC2 Holdings Inc. Common Stock</t>
  </si>
  <si>
    <t>HCI</t>
  </si>
  <si>
    <t>HCI Group Inc. Common Stock</t>
  </si>
  <si>
    <t>HCXY</t>
  </si>
  <si>
    <t>Hercules Capital Inc. 6.25% Notes due 2033</t>
  </si>
  <si>
    <t>HD</t>
  </si>
  <si>
    <t>Home Depot Inc. (The) Common Stock</t>
  </si>
  <si>
    <t>HDB</t>
  </si>
  <si>
    <t>HDFC Bank Limited Common Stock</t>
  </si>
  <si>
    <t>HE</t>
  </si>
  <si>
    <t>Hawaiian Electric Industries Inc. Common Stock</t>
  </si>
  <si>
    <t>HEI</t>
  </si>
  <si>
    <t>Heico Corporation Common Stock</t>
  </si>
  <si>
    <t>HEI/A</t>
  </si>
  <si>
    <t>Heico Corporation</t>
  </si>
  <si>
    <t>HEP</t>
  </si>
  <si>
    <t>Holly Energy Partners L.P. Common Stock</t>
  </si>
  <si>
    <t>HEQ</t>
  </si>
  <si>
    <t>John Hancock Hedged Equity &amp; Income Fund Common Shares of Beneficial Interest</t>
  </si>
  <si>
    <t>HES</t>
  </si>
  <si>
    <t>Hess Corporation Common Stock</t>
  </si>
  <si>
    <t>HESM</t>
  </si>
  <si>
    <t>Hess Midstream LP Class A Share</t>
  </si>
  <si>
    <t>HEXO</t>
  </si>
  <si>
    <t>HEXO Corp. Common Shares</t>
  </si>
  <si>
    <t>HFC</t>
  </si>
  <si>
    <t>HollyFrontier Corporation Common Stock</t>
  </si>
  <si>
    <t>HFRO</t>
  </si>
  <si>
    <t>Highland Income Fund</t>
  </si>
  <si>
    <t>HFRO^A</t>
  </si>
  <si>
    <t>Highland Income Fund 5.375% Series A Cumulative Preferred Shares</t>
  </si>
  <si>
    <t>HGH</t>
  </si>
  <si>
    <t>Hartford Financial Services Group Inc. (The) 7.875% Fixed to Floating Rate Junior Subordinated Debentures due 2042</t>
  </si>
  <si>
    <t>HGLB</t>
  </si>
  <si>
    <t>Highland Global Allocation Fund Common Stock</t>
  </si>
  <si>
    <t>HGV</t>
  </si>
  <si>
    <t>Hilton Grand Vacations Inc. Common Stock</t>
  </si>
  <si>
    <t>HHC</t>
  </si>
  <si>
    <t>Howard Hughes Corporation (The) Common Stock</t>
  </si>
  <si>
    <t>HHLA</t>
  </si>
  <si>
    <t>HH&amp;L Acquisition Co. Class A Ordinary Shares</t>
  </si>
  <si>
    <t>HI</t>
  </si>
  <si>
    <t>Hillenbrand Inc Common Stock</t>
  </si>
  <si>
    <t>HIE</t>
  </si>
  <si>
    <t>Miller/Howard High Income Equity Fund Common Shares of Beneficial Interest</t>
  </si>
  <si>
    <t>HIG</t>
  </si>
  <si>
    <t>Hartford Financial Services Group Inc. (The) Common Stock</t>
  </si>
  <si>
    <t>HIG^G</t>
  </si>
  <si>
    <t>Hartford Financial Services Group Inc. (The) Depositary Shares each representing a 1/1000th interest in a share of 6.000% Non-Cumulative Preferred Stock Series G $0.01 par value</t>
  </si>
  <si>
    <t>HIGA</t>
  </si>
  <si>
    <t>H.I.G. Acquisition Corp. Class A Ordinary Shares</t>
  </si>
  <si>
    <t>HII</t>
  </si>
  <si>
    <t>Huntington Ingalls Industries Inc. Common Stock</t>
  </si>
  <si>
    <t>HIL</t>
  </si>
  <si>
    <t>Hill International Inc. Common Stock</t>
  </si>
  <si>
    <t>HIMS</t>
  </si>
  <si>
    <t>Hims &amp; Hers Health Inc. Class A Common Stock</t>
  </si>
  <si>
    <t>HIO</t>
  </si>
  <si>
    <t>Western Asset High Income Opportunity Fund Inc. Common Stock</t>
  </si>
  <si>
    <t>HIPO</t>
  </si>
  <si>
    <t>Hippo Holdings Inc. Common Stock</t>
  </si>
  <si>
    <t>HIW</t>
  </si>
  <si>
    <t>Highwoods Properties Inc. Common Stock</t>
  </si>
  <si>
    <t>HIX</t>
  </si>
  <si>
    <t>Western Asset High Income Fund II Inc. Common Stock</t>
  </si>
  <si>
    <t>HKIB</t>
  </si>
  <si>
    <t>AMTD International Inc. American Depositary Shares each representing one Class A Ordinary Share</t>
  </si>
  <si>
    <t>HL</t>
  </si>
  <si>
    <t>Hecla Mining Company Common Stock</t>
  </si>
  <si>
    <t>HL^B</t>
  </si>
  <si>
    <t>Hecla Mining Company Preferred Stock</t>
  </si>
  <si>
    <t>HLF</t>
  </si>
  <si>
    <t>Herbalife Nutrition Ltd. Common Stock</t>
  </si>
  <si>
    <t>HLI</t>
  </si>
  <si>
    <t>Houlihan Lokey Inc. Class A Common Stock</t>
  </si>
  <si>
    <t>HLLY</t>
  </si>
  <si>
    <t>Holley Inc. Common Stock</t>
  </si>
  <si>
    <t>HLT</t>
  </si>
  <si>
    <t>Hilton Worldwide Holdings Inc. Common Stock</t>
  </si>
  <si>
    <t>HLX</t>
  </si>
  <si>
    <t>Helix Energy Solutions Group Inc. Common Stock</t>
  </si>
  <si>
    <t>HMC</t>
  </si>
  <si>
    <t>Honda Motor Company Ltd. Common Stock</t>
  </si>
  <si>
    <t>HMLP</t>
  </si>
  <si>
    <t>Hoegh LNG Partners LP Common Units representing Limited Partner Interests</t>
  </si>
  <si>
    <t>HMLP^A</t>
  </si>
  <si>
    <t>Hoegh LNG Partners LP 8.75% Series A Cumulative Redeemable Preferred Units</t>
  </si>
  <si>
    <t>HMN</t>
  </si>
  <si>
    <t>Horace Mann Educators Corporation Common Stock</t>
  </si>
  <si>
    <t>HMY</t>
  </si>
  <si>
    <t>Harmony Gold Mining Company Limited</t>
  </si>
  <si>
    <t>HNGR</t>
  </si>
  <si>
    <t>Hanger Inc. Common Stock</t>
  </si>
  <si>
    <t>HNI</t>
  </si>
  <si>
    <t>HNI Corporation Common Stock</t>
  </si>
  <si>
    <t>HNP</t>
  </si>
  <si>
    <t>Huaneng Power Intl Common Stock</t>
  </si>
  <si>
    <t>HOG</t>
  </si>
  <si>
    <t>Harley-Davidson Inc. Common Stock</t>
  </si>
  <si>
    <t>HOV</t>
  </si>
  <si>
    <t>Hovnanian Enterprises Inc. Class A Common Stock</t>
  </si>
  <si>
    <t>HP</t>
  </si>
  <si>
    <t>Helmerich &amp; Payne Inc. Common Stock</t>
  </si>
  <si>
    <t>HPE</t>
  </si>
  <si>
    <t>Hewlett Packard Enterprise Company Common Stock</t>
  </si>
  <si>
    <t>HPF</t>
  </si>
  <si>
    <t>John Hancock Pfd Income Fund II Pfd Income Fund II</t>
  </si>
  <si>
    <t>HPI</t>
  </si>
  <si>
    <t>John Hancock Preferred Income Fund Common Shares of Beneficial Interest</t>
  </si>
  <si>
    <t>HPP</t>
  </si>
  <si>
    <t>Hudson Pacific Properties Inc. Common Stock</t>
  </si>
  <si>
    <t>HPQ</t>
  </si>
  <si>
    <t>HP Inc. Common Stock</t>
  </si>
  <si>
    <t>HPS</t>
  </si>
  <si>
    <t>John Hancock Preferred Income Fund III Preferred Income Fund III</t>
  </si>
  <si>
    <t>HPX</t>
  </si>
  <si>
    <t>HPX Corp. Class A Ordinary Shares</t>
  </si>
  <si>
    <t>HQH</t>
  </si>
  <si>
    <t>Tekla Healthcare Investors Common Stock</t>
  </si>
  <si>
    <t>HQL</t>
  </si>
  <si>
    <t>TeklaLife Sciences Investors Common Stock</t>
  </si>
  <si>
    <t>HR</t>
  </si>
  <si>
    <t>Healthcare Realty Trust Incorporated Common Stock</t>
  </si>
  <si>
    <t>HRB</t>
  </si>
  <si>
    <t>H&amp;R Block Inc. Common Stock</t>
  </si>
  <si>
    <t>HRC</t>
  </si>
  <si>
    <t>Hill-Rom Holdings Inc Common Stock</t>
  </si>
  <si>
    <t>HRI</t>
  </si>
  <si>
    <t>Herc Holdings Inc. Common Stock</t>
  </si>
  <si>
    <t>HRL</t>
  </si>
  <si>
    <t>Hormel Foods Corporation Common Stock</t>
  </si>
  <si>
    <t>HRTG</t>
  </si>
  <si>
    <t>Heritage Insurance Holdings Inc. Common Stock</t>
  </si>
  <si>
    <t>HSBC</t>
  </si>
  <si>
    <t>HSBC Holdings plc. Common Stock</t>
  </si>
  <si>
    <t>HSC</t>
  </si>
  <si>
    <t>Harsco Corporation Common Stock</t>
  </si>
  <si>
    <t>HSY</t>
  </si>
  <si>
    <t>The Hershey Company Common Stock</t>
  </si>
  <si>
    <t>HT</t>
  </si>
  <si>
    <t>Hersha Hospitality Trust Class A Common Shares of Beneficial Interest</t>
  </si>
  <si>
    <t>HT^C</t>
  </si>
  <si>
    <t>Hersha Hospitality Trust 6.875% Series C Cumulative Redeemable Preferred Shares of Beneficial Interest</t>
  </si>
  <si>
    <t>HT^D</t>
  </si>
  <si>
    <t>Hersha Hospitality Trust 6.50% Series D Cumulative Redeemable Preferred Shares of Beneficial Interest $0.01 par value per share</t>
  </si>
  <si>
    <t>HT^E</t>
  </si>
  <si>
    <t>Hersha Hospitality Trust 6.50% Series E Cumulative Redeemable Preferred Shares of Beneficial Interest</t>
  </si>
  <si>
    <t>HTA</t>
  </si>
  <si>
    <t>Healthcare Trust of America Inc. Class A Common Stock</t>
  </si>
  <si>
    <t>HTD</t>
  </si>
  <si>
    <t>John Hancock Tax Advantaged Dividend Income Fund Common Shares of Beneficial Interest</t>
  </si>
  <si>
    <t>HTGC</t>
  </si>
  <si>
    <t>Hercules Capital Inc. Common Stock</t>
  </si>
  <si>
    <t>HTH</t>
  </si>
  <si>
    <t>Hilltop Holdings Inc.</t>
  </si>
  <si>
    <t>HTPA</t>
  </si>
  <si>
    <t>Highland Transcend Partners I Corp. Class A Ordinary Shares</t>
  </si>
  <si>
    <t>HTY</t>
  </si>
  <si>
    <t>John Hancock Tax-Advantaged Global Shareholder Yield Fund Common Shares of Beneficial Interest</t>
  </si>
  <si>
    <t>HUBB</t>
  </si>
  <si>
    <t>Hubbell Inc Common Stock</t>
  </si>
  <si>
    <t>HUBS</t>
  </si>
  <si>
    <t>HubSpot Inc. Common Stock</t>
  </si>
  <si>
    <t>HUGS</t>
  </si>
  <si>
    <t>USHG Acquisition Corp. Class A Common Stock</t>
  </si>
  <si>
    <t>HUM</t>
  </si>
  <si>
    <t>Humana Inc. Common Stock</t>
  </si>
  <si>
    <t>HUN</t>
  </si>
  <si>
    <t>Huntsman Corporation Common Stock</t>
  </si>
  <si>
    <t>HUYA</t>
  </si>
  <si>
    <t>HUYA Inc. American depositary shares each  representing one Class A ordinary share</t>
  </si>
  <si>
    <t>HVT</t>
  </si>
  <si>
    <t>Haverty Furniture Companies Inc. Common Stock</t>
  </si>
  <si>
    <t>HVT/A</t>
  </si>
  <si>
    <t>Haverty Furniture Companies Inc.</t>
  </si>
  <si>
    <t>HWM</t>
  </si>
  <si>
    <t>Howmet Aerospace Inc. Common Stock</t>
  </si>
  <si>
    <t>HXL</t>
  </si>
  <si>
    <t>Hexcel Corporation Common Stock</t>
  </si>
  <si>
    <t>HY</t>
  </si>
  <si>
    <t>Hyster-Yale Materials Handling Inc. Class A Common Stock</t>
  </si>
  <si>
    <t>HYB</t>
  </si>
  <si>
    <t>New America High Income Fund Inc. (The) Common Stock</t>
  </si>
  <si>
    <t>HYI</t>
  </si>
  <si>
    <t>Western Asset High Yield Defined Opportunity Fund Inc. Common Stock</t>
  </si>
  <si>
    <t>HYLN</t>
  </si>
  <si>
    <t>Hyliion Holdings Corp. Class A Common Stock</t>
  </si>
  <si>
    <t>HYT</t>
  </si>
  <si>
    <t>Blackrock Corporate High Yield Fund Inc. Common Stock</t>
  </si>
  <si>
    <t>HZAC</t>
  </si>
  <si>
    <t>Horizon Acquisition Corporation Class A Ordinary Shares</t>
  </si>
  <si>
    <t>HZN</t>
  </si>
  <si>
    <t>Horizon Global Corporation Common Shares</t>
  </si>
  <si>
    <t>HZO</t>
  </si>
  <si>
    <t>MarineMax Inc.  (FL) Common Stock</t>
  </si>
  <si>
    <t>HZON</t>
  </si>
  <si>
    <t>Horizon Acquisition Corporation II Class A Ordinary Shares</t>
  </si>
  <si>
    <t>IAA</t>
  </si>
  <si>
    <t>IAA Inc. Common Stock</t>
  </si>
  <si>
    <t>IACB</t>
  </si>
  <si>
    <t>ION Acquisition Corp 2 Ltd. Class A Ordinary Shares</t>
  </si>
  <si>
    <t>IACC</t>
  </si>
  <si>
    <t>ION Acquisition Corp 3 Ltd. Class A Ordinary Shares</t>
  </si>
  <si>
    <t>IAE</t>
  </si>
  <si>
    <t>Voya Asia Pacific High Dividend Equity Income Fund ING Asia Pacific High Dividend Equity Income Fund Common Shares of Beneficial Interest</t>
  </si>
  <si>
    <t>IAG</t>
  </si>
  <si>
    <t>Iamgold Corporation Ordinary Shares</t>
  </si>
  <si>
    <t>IBA</t>
  </si>
  <si>
    <t>Industrias Bachoco S.A.B. de C.V. Common Stock</t>
  </si>
  <si>
    <t>IBER</t>
  </si>
  <si>
    <t>Ibere Pharmaceuticals Class A Ordinary Shares</t>
  </si>
  <si>
    <t>IBM</t>
  </si>
  <si>
    <t>International Business Machines Corporation Common Stock</t>
  </si>
  <si>
    <t>IBN</t>
  </si>
  <si>
    <t>ICICI Bank Limited Common Stock</t>
  </si>
  <si>
    <t>IBP</t>
  </si>
  <si>
    <t>Installed Building Products Inc. Common Stock</t>
  </si>
  <si>
    <t>ICD</t>
  </si>
  <si>
    <t>Independence Contract Drilling Inc. Common Stock</t>
  </si>
  <si>
    <t>ICE</t>
  </si>
  <si>
    <t>Intercontinental Exchange Inc. Common Stock</t>
  </si>
  <si>
    <t>ICL</t>
  </si>
  <si>
    <t>ICL Group Ltd. Ordinary Shares</t>
  </si>
  <si>
    <t>IDA</t>
  </si>
  <si>
    <t>IDACORP Inc. Common Stock</t>
  </si>
  <si>
    <t>IDE</t>
  </si>
  <si>
    <t>Voya Infrastructure Industrials and Materials Fund Common Shares of Beneficial Interest</t>
  </si>
  <si>
    <t>IDT</t>
  </si>
  <si>
    <t>IDT Corporation Class B Common Stock</t>
  </si>
  <si>
    <t>IEX</t>
  </si>
  <si>
    <t>IDEX Corporation Common Stock</t>
  </si>
  <si>
    <t>IFF</t>
  </si>
  <si>
    <t>Internationa Flavors &amp; Fragrances Inc. Common Stock</t>
  </si>
  <si>
    <t>IFFT</t>
  </si>
  <si>
    <t>International Flavors &amp; Fragrances Inc. 6.00% Tangible Equity Units</t>
  </si>
  <si>
    <t>IFN</t>
  </si>
  <si>
    <t>India Fund Inc. (The) Common Stock</t>
  </si>
  <si>
    <t>IFS</t>
  </si>
  <si>
    <t>Intercorp Financial Services Inc. Common Shares</t>
  </si>
  <si>
    <t>IGA</t>
  </si>
  <si>
    <t>Voya Global Advantage and Premium Opportunity Fund Common Shares of Beneficial Interest</t>
  </si>
  <si>
    <t>IGD</t>
  </si>
  <si>
    <t>Voya Global Equity Dividend and Premium Opportunity Fund</t>
  </si>
  <si>
    <t>IGI</t>
  </si>
  <si>
    <t>Western Asset Investment Grade Defined Opportunity Trust Inc. Common Stock</t>
  </si>
  <si>
    <t>IGR</t>
  </si>
  <si>
    <t>CBRE Clarion Global Real Estate Income Fund Common Stock</t>
  </si>
  <si>
    <t>IGT</t>
  </si>
  <si>
    <t>International Game Technology Ordinary Shares</t>
  </si>
  <si>
    <t>IH</t>
  </si>
  <si>
    <t>iHuman Inc. American depositary shares each representing five Class A ordinary shares</t>
  </si>
  <si>
    <t>IHC</t>
  </si>
  <si>
    <t>Independence Holding Company Common Stock</t>
  </si>
  <si>
    <t>IHD</t>
  </si>
  <si>
    <t>Voya Emerging Markets High Income Dividend Equity Fund Common Shares</t>
  </si>
  <si>
    <t>IHG</t>
  </si>
  <si>
    <t>Intercontinental Hotels Group American Depositary Shares (Each representing one Ordinary Share)</t>
  </si>
  <si>
    <t>IHIT</t>
  </si>
  <si>
    <t>Invesco High Income 2023 Target Term Fund Common Shares of Beneficial Interest</t>
  </si>
  <si>
    <t>IHTA</t>
  </si>
  <si>
    <t>Invesco High Income 2024 Target Term Fund Common Shares of Beneficial Interest No par value per share</t>
  </si>
  <si>
    <t>IIAC</t>
  </si>
  <si>
    <t>Investindustrial Acquisition Corp. Class A Ordinary Shares</t>
  </si>
  <si>
    <t>IIF</t>
  </si>
  <si>
    <t>Morgan Stanley India Investment Fund Inc. Common Stock</t>
  </si>
  <si>
    <t>IIIN</t>
  </si>
  <si>
    <t>Insteel Industries Inc. Common Stock</t>
  </si>
  <si>
    <t>IIM</t>
  </si>
  <si>
    <t>Invesco Value Municipal Income Trust Common Stock</t>
  </si>
  <si>
    <t>IIPR</t>
  </si>
  <si>
    <t>Innovative Industrial Properties Inc. Common Stock</t>
  </si>
  <si>
    <t>IIPR^A</t>
  </si>
  <si>
    <t>Innovative Industrial Properties Inc. 9.00% Series A Cumulative Redeemable Preferred Stock</t>
  </si>
  <si>
    <t>IMAX</t>
  </si>
  <si>
    <t>Imax Corporation Common Stock</t>
  </si>
  <si>
    <t>IMPX</t>
  </si>
  <si>
    <t>AEA-Bridges Impact Corp. Class A Ordinary Shares</t>
  </si>
  <si>
    <t>INFO</t>
  </si>
  <si>
    <t>IHS Markit Ltd. Common Shares</t>
  </si>
  <si>
    <t>INFY</t>
  </si>
  <si>
    <t>Infosys Limited American Depositary Shares</t>
  </si>
  <si>
    <t>ING</t>
  </si>
  <si>
    <t>ING Group N.V. Common Stock</t>
  </si>
  <si>
    <t>INGR</t>
  </si>
  <si>
    <t>Ingredion Incorporated Common Stock</t>
  </si>
  <si>
    <t>INN</t>
  </si>
  <si>
    <t>Summit Hotel Properties Inc. Common Stock</t>
  </si>
  <si>
    <t>INN^D</t>
  </si>
  <si>
    <t>Summit Hotel Properties Inc. 6.45% Series D Cumulative Redeemable Preferred Stock</t>
  </si>
  <si>
    <t>INN^E</t>
  </si>
  <si>
    <t>Summit Hotel Properties Inc. 6.250% Series E Cumulative Redeemable Preferred Stock</t>
  </si>
  <si>
    <t>INS</t>
  </si>
  <si>
    <t>Intelligent Systems Corporation Common Stock</t>
  </si>
  <si>
    <t>INSI</t>
  </si>
  <si>
    <t>Insight Select Income Fund</t>
  </si>
  <si>
    <t>INSP</t>
  </si>
  <si>
    <t>Inspire Medical Systems Inc. Common Stock</t>
  </si>
  <si>
    <t>INST</t>
  </si>
  <si>
    <t>Instructure Holdings Inc. Common Stock</t>
  </si>
  <si>
    <t>INSW</t>
  </si>
  <si>
    <t>International Seaways Inc. Common Stock</t>
  </si>
  <si>
    <t>INSW^A</t>
  </si>
  <si>
    <t>International Seaways Inc. 8.50% Senior Notes due June 30 2023</t>
  </si>
  <si>
    <t>INT</t>
  </si>
  <si>
    <t>World Fuel Services Corporation Common Stock</t>
  </si>
  <si>
    <t>INVH</t>
  </si>
  <si>
    <t>Invitation Homes Inc. Common Stock</t>
  </si>
  <si>
    <t>IO</t>
  </si>
  <si>
    <t>Ion Geophysical Corporation Common Stock</t>
  </si>
  <si>
    <t>IP</t>
  </si>
  <si>
    <t>International Paper Company Common Stock</t>
  </si>
  <si>
    <t>IPG</t>
  </si>
  <si>
    <t>Interpublic Group of Companies Inc. (The) Common Stock</t>
  </si>
  <si>
    <t>IPI</t>
  </si>
  <si>
    <t>Intrepid Potash Inc Common Stock</t>
  </si>
  <si>
    <t>IPOD</t>
  </si>
  <si>
    <t>Social Capital Hedosophia Holdings Corp. IV Class A Ordinary Shares</t>
  </si>
  <si>
    <t>IPOF</t>
  </si>
  <si>
    <t>Social Capital Hedosophia Holdings Corp. VI Class A Ordinary Shares</t>
  </si>
  <si>
    <t>IPVA</t>
  </si>
  <si>
    <t>InterPrivate II Acquisition Corp. Class A Common Stock</t>
  </si>
  <si>
    <t>IPVF</t>
  </si>
  <si>
    <t>InterPrivate III Financial Partners Inc. Class A Common Stock</t>
  </si>
  <si>
    <t>IQI</t>
  </si>
  <si>
    <t>Invesco Quality Municipal Income Trust Common Stock</t>
  </si>
  <si>
    <t>IQV</t>
  </si>
  <si>
    <t>IQVIA Holdings Inc. Common Stock</t>
  </si>
  <si>
    <t>IR</t>
  </si>
  <si>
    <t>Ingersoll Rand Inc. Common Stock</t>
  </si>
  <si>
    <t>IRL</t>
  </si>
  <si>
    <t>New Ireland Fund Inc (The) Common Stock</t>
  </si>
  <si>
    <t>IRM</t>
  </si>
  <si>
    <t>Iron Mountain Incorporated (Delaware)Common Stock REIT</t>
  </si>
  <si>
    <t>IRS</t>
  </si>
  <si>
    <t>IRSA Inversiones Y Representaciones S.A. Common Stock</t>
  </si>
  <si>
    <t>IRT</t>
  </si>
  <si>
    <t>Independence Realty Trust Inc. Common Stock</t>
  </si>
  <si>
    <t>IS</t>
  </si>
  <si>
    <t>ironSource Ltd. Class A Ordinary Shares</t>
  </si>
  <si>
    <t>ISD</t>
  </si>
  <si>
    <t>PGIM High Yield Bond Fund Inc.</t>
  </si>
  <si>
    <t>ISOS</t>
  </si>
  <si>
    <t>Isos Acquisition Corporation Class A Ordinary Shares</t>
  </si>
  <si>
    <t>IT</t>
  </si>
  <si>
    <t>Gartner Inc. Common Stock</t>
  </si>
  <si>
    <t>ITCB</t>
  </si>
  <si>
    <t>Itau CorpBanca American Depositary Shares (each representing 1500 shares of Common Stock no par value)</t>
  </si>
  <si>
    <t>ITGR</t>
  </si>
  <si>
    <t>Integer Holdings Corporation Common Stock</t>
  </si>
  <si>
    <t>ITT</t>
  </si>
  <si>
    <t>ITT Inc. Common Stock</t>
  </si>
  <si>
    <t>ITUB</t>
  </si>
  <si>
    <t>Itau Unibanco Banco Holding SA American Depositary Shares (Each repstg 500 Preferred shares)</t>
  </si>
  <si>
    <t>ITW</t>
  </si>
  <si>
    <t>Illinois Tool Works Inc. Common Stock</t>
  </si>
  <si>
    <t>IVAN</t>
  </si>
  <si>
    <t>Ivanhoe Capital Acquisition Corp. Class A Ordinary Shares</t>
  </si>
  <si>
    <t>IVC</t>
  </si>
  <si>
    <t>Invacare Corporation Common Stock</t>
  </si>
  <si>
    <t>IVH</t>
  </si>
  <si>
    <t>Delaware Ivy High Income Opportunities Fund</t>
  </si>
  <si>
    <t>IVR</t>
  </si>
  <si>
    <t>INVESCO MORTGAGE CAPITAL INC Common Stock</t>
  </si>
  <si>
    <t>IVR^B</t>
  </si>
  <si>
    <t>Invesco Mortgage Capital Inc. Preferred Series B Cum Fxd to Fltg</t>
  </si>
  <si>
    <t>IVR^C</t>
  </si>
  <si>
    <t>INVESCO MORTGAGE CAPITAL INC 7.5% Fixed-to-Floating Series C Cumulative Redeemable Preferred Stock Liquation Preference $25.00 per Share</t>
  </si>
  <si>
    <t>IVZ</t>
  </si>
  <si>
    <t>Invesco Ltd Common Stock</t>
  </si>
  <si>
    <t>IX</t>
  </si>
  <si>
    <t>Orix Corp Ads Common Stock</t>
  </si>
  <si>
    <t>J</t>
  </si>
  <si>
    <t>Jacobs Engineering Group Inc. Common Stock</t>
  </si>
  <si>
    <t>JAX</t>
  </si>
  <si>
    <t>J. Alexander's Holdings Inc. Common Stock</t>
  </si>
  <si>
    <t>JBGS</t>
  </si>
  <si>
    <t>JBG SMITH Properties Common Shares</t>
  </si>
  <si>
    <t>JBI</t>
  </si>
  <si>
    <t>Janus International Group Inc. Common Stock</t>
  </si>
  <si>
    <t>JBL</t>
  </si>
  <si>
    <t>Jabil Inc. Common Stock</t>
  </si>
  <si>
    <t>JBT</t>
  </si>
  <si>
    <t>John Bean Technologies Corporation Common Stock</t>
  </si>
  <si>
    <t>JCE</t>
  </si>
  <si>
    <t>Nuveen Core Equity Alpha Fund Nuveen Core Equity Alpha Fund Common Shares of Beneficial Interest</t>
  </si>
  <si>
    <t>JCI</t>
  </si>
  <si>
    <t>Johnson Controls International plc Ordinary Share</t>
  </si>
  <si>
    <t>JCO</t>
  </si>
  <si>
    <t>Nuveen Credit Opportunities 2022 Target Term Fund Common Shares of Beneficial Interest</t>
  </si>
  <si>
    <t>JDD</t>
  </si>
  <si>
    <t>Nuveen Diversified Dividend and Income Fund Shares of Beneficial Interest</t>
  </si>
  <si>
    <t>JEF</t>
  </si>
  <si>
    <t>Jefferies Financial Group Inc. Common Stock</t>
  </si>
  <si>
    <t>JELD</t>
  </si>
  <si>
    <t>JELD-WEN Holding Inc. Common Stock</t>
  </si>
  <si>
    <t>JEMD</t>
  </si>
  <si>
    <t>Nuveen Emerging Markets Debt 2022 Target Term Fund Common Shares of Beneficial Interest $0.01 par value per share</t>
  </si>
  <si>
    <t>JEQ</t>
  </si>
  <si>
    <t>Aberdeen Japan Equity Fund Inc.  Common Stock</t>
  </si>
  <si>
    <t>JFR</t>
  </si>
  <si>
    <t>Nuveen Floating Rate Income Fund Common Stock</t>
  </si>
  <si>
    <t>JGH</t>
  </si>
  <si>
    <t>Nuveen Global High Income Fund Common Shares of Beneficial Interest</t>
  </si>
  <si>
    <t>JHAA</t>
  </si>
  <si>
    <t>Nuveen Corporate Income 2023 Target Term Fund</t>
  </si>
  <si>
    <t>JHB</t>
  </si>
  <si>
    <t>Nuveen Corporate Income November 2021 Target Term Fund</t>
  </si>
  <si>
    <t>JHG</t>
  </si>
  <si>
    <t>Janus Henderson Group plc Ordinary Shares</t>
  </si>
  <si>
    <t>JHI</t>
  </si>
  <si>
    <t>John Hancock Investors Trust Common Stock</t>
  </si>
  <si>
    <t>JHS</t>
  </si>
  <si>
    <t>John Hancock Income Securities Trust Common Stock</t>
  </si>
  <si>
    <t>JHX</t>
  </si>
  <si>
    <t>James Hardie Industries plc American Depositary Shares (Ireland)</t>
  </si>
  <si>
    <t>JILL</t>
  </si>
  <si>
    <t>J. Jill Inc. Common Stock</t>
  </si>
  <si>
    <t>JKS</t>
  </si>
  <si>
    <t>JinkoSolar Holding Company Limited American Depositary Shares (each representing 4 Common Shares)</t>
  </si>
  <si>
    <t>JLL</t>
  </si>
  <si>
    <t>Jones Lang LaSalle Incorporated Common Stock</t>
  </si>
  <si>
    <t>JLS</t>
  </si>
  <si>
    <t>Nuveen Mortgage and Income Fund</t>
  </si>
  <si>
    <t>JMIA</t>
  </si>
  <si>
    <t>Jumia Technologies AG American Depositary Shares each representing two Ordinary Shares</t>
  </si>
  <si>
    <t>JMM</t>
  </si>
  <si>
    <t>Nuveen Multi-Market Income Fund (MA)</t>
  </si>
  <si>
    <t>JMP</t>
  </si>
  <si>
    <t>JMP Group LLC Common Shares</t>
  </si>
  <si>
    <t>JNJ</t>
  </si>
  <si>
    <t>Johnson &amp; Johnson Common Stock</t>
  </si>
  <si>
    <t>JNPR</t>
  </si>
  <si>
    <t>Juniper Networks Inc. Common Stock</t>
  </si>
  <si>
    <t>JOE</t>
  </si>
  <si>
    <t>St. Joe Company (The) Common Stock</t>
  </si>
  <si>
    <t>JOF</t>
  </si>
  <si>
    <t>Japan Smaller Capitalization Fund Inc Common Stock</t>
  </si>
  <si>
    <t>JP</t>
  </si>
  <si>
    <t>Jupai Holdings Limited American Depositary Shares each representing six ordinary shares</t>
  </si>
  <si>
    <t>JPC</t>
  </si>
  <si>
    <t>Nuveen Preferred &amp; Income Opportunities Fund</t>
  </si>
  <si>
    <t>JPI</t>
  </si>
  <si>
    <t>Nuveen Preferred and Income Term Fund Common Shares of Beneficial Interest</t>
  </si>
  <si>
    <t>JPM</t>
  </si>
  <si>
    <t>JP Morgan Chase &amp; Co. Common Stock</t>
  </si>
  <si>
    <t>JPM^C</t>
  </si>
  <si>
    <t>J P Morgan Chase &amp; Co Depositary Shares each representing a 1/400th interest in a share of 6.00% Non-Cumulative  Preferred Stock Series EE</t>
  </si>
  <si>
    <t>JPM^D</t>
  </si>
  <si>
    <t>J P Morgan Chase &amp; Co Depositary Shares each representing a 1/400th  interest in a share of 5.75% Non-Cumulative  Preferred Stock Series DD</t>
  </si>
  <si>
    <t>JPM^J</t>
  </si>
  <si>
    <t>J P Morgan Chase &amp; Co Depositary Shares each representing a 1/400th interest in a share of JPMorgan Chase &amp; Co. 4.75% Non-Cumulative Preferred Stock Series GG</t>
  </si>
  <si>
    <t>JPM^K</t>
  </si>
  <si>
    <t>J P Morgan Chase &amp; Co Depositary Shares each representing a 1/400th interest in a share of 4.55% Non-Cumulative Preferred Stock Series JJ</t>
  </si>
  <si>
    <t>JPM^L</t>
  </si>
  <si>
    <t>J P Morgan Chase &amp; Co Depositary Shares each representing a 1/400th interest in a share of 4.625% Non-Cumulative Preferred Stock Series LL</t>
  </si>
  <si>
    <t>JPM^M</t>
  </si>
  <si>
    <t>J P Morgan Chase &amp; Co Depositary Shares each representing a 1/400th interest in a share of 4.20% Non-Cumulative Preferred Stock Series MM</t>
  </si>
  <si>
    <t>JPS</t>
  </si>
  <si>
    <t>Nuveen Preferred &amp; Income Securities Fund</t>
  </si>
  <si>
    <t>JPT</t>
  </si>
  <si>
    <t>Nuveen Preferred and Income 2022 Term Fund Common Shares of Beneficial Interest</t>
  </si>
  <si>
    <t>JQC</t>
  </si>
  <si>
    <t>Nuveen Credit Strategies Income Fund Shares of Beneficial Interest</t>
  </si>
  <si>
    <t>JRI</t>
  </si>
  <si>
    <t>Nuveen Real Asset Income and Growth Fund Common Shares of Beneficial Interest</t>
  </si>
  <si>
    <t>JRO</t>
  </si>
  <si>
    <t>Nuveen Floating Rate Income Opportuntiy Fund Shares of Beneficial Interest</t>
  </si>
  <si>
    <t>JRS</t>
  </si>
  <si>
    <t>Nuveen Real Estate Income Fund Common Shares of Beneficial Interest</t>
  </si>
  <si>
    <t>JSD</t>
  </si>
  <si>
    <t>Nuveen Short Duration Credit Opportunities Fund Common Shares of Beneficial Interest</t>
  </si>
  <si>
    <t>JT</t>
  </si>
  <si>
    <t>Jianpu Technology Inc. American depositary shares</t>
  </si>
  <si>
    <t>JTA</t>
  </si>
  <si>
    <t>Nuveen Tax-Advantaged Total Return Strategy Fund Common Share of Beneficial Interest</t>
  </si>
  <si>
    <t>JTD</t>
  </si>
  <si>
    <t>Nuveen Tax-Advantaged Dividend Growth Fund Common Shares of Beneficial Interest</t>
  </si>
  <si>
    <t>JW/A</t>
  </si>
  <si>
    <t>John Wiley &amp; Sons Inc.</t>
  </si>
  <si>
    <t>JW/B</t>
  </si>
  <si>
    <t>JWN</t>
  </si>
  <si>
    <t>Nordstrom Inc. Common Stock</t>
  </si>
  <si>
    <t>JWSM</t>
  </si>
  <si>
    <t>Jaws Mustang Acquisition Corp. Class A Ordinary Shares</t>
  </si>
  <si>
    <t>K</t>
  </si>
  <si>
    <t>Kellogg Company Common Stock</t>
  </si>
  <si>
    <t>KAHC</t>
  </si>
  <si>
    <t>KKR Acquisition Holdings I Corp. Class A Common Stock</t>
  </si>
  <si>
    <t>KAI</t>
  </si>
  <si>
    <t>Kadant Inc Common Stock</t>
  </si>
  <si>
    <t>KAMN</t>
  </si>
  <si>
    <t>Kaman Corporation Common Stock</t>
  </si>
  <si>
    <t>KAR</t>
  </si>
  <si>
    <t>KAR Auction Services Inc Common Stock</t>
  </si>
  <si>
    <t>KB</t>
  </si>
  <si>
    <t>KB Financial Group Inc</t>
  </si>
  <si>
    <t>KBH</t>
  </si>
  <si>
    <t>KB Home Common Stock</t>
  </si>
  <si>
    <t>KBR</t>
  </si>
  <si>
    <t>KBR Inc. Common Stock</t>
  </si>
  <si>
    <t>KCAC</t>
  </si>
  <si>
    <t>Kensington Capital Acquisition Corp. II Class A Common Stock</t>
  </si>
  <si>
    <t>KEN</t>
  </si>
  <si>
    <t>Kenon Holdings Ltd. Ordinary Shares</t>
  </si>
  <si>
    <t>KEP</t>
  </si>
  <si>
    <t>Korea Electric Power Corporation Common Stock</t>
  </si>
  <si>
    <t>KEX</t>
  </si>
  <si>
    <t>Kirby Corporation Common Stock</t>
  </si>
  <si>
    <t>KEY</t>
  </si>
  <si>
    <t>KeyCorp Common Stock</t>
  </si>
  <si>
    <t>KEY^I</t>
  </si>
  <si>
    <t>KeyCorp Depositary Shares Each Representing a 1/40th Ownership Interest in a Share of Fixed-to-Floating Rate Perpetual Non-Cumulative Preferred Stock Series E</t>
  </si>
  <si>
    <t>KEY^J</t>
  </si>
  <si>
    <t>KeyCorp Depositary Shares each representing a 1/40th ownership interest in a share of Fixed Rate Perpetual Non-Cumulative Preferred Stock Series F</t>
  </si>
  <si>
    <t>KEY^K</t>
  </si>
  <si>
    <t>KeyCorp Depositary Shares each representing a 1/40th ownership interest in a share of Fixed Rate Perpetual Non-Cumulative Preferred Stock Series G</t>
  </si>
  <si>
    <t>KEYS</t>
  </si>
  <si>
    <t>Keysight Technologies Inc. Common Stock</t>
  </si>
  <si>
    <t>KF</t>
  </si>
  <si>
    <t>Korea Fund Inc. (The) New Common Stock</t>
  </si>
  <si>
    <t>KFS</t>
  </si>
  <si>
    <t>Kingsway Financial Services Inc. Common Stock (DE)</t>
  </si>
  <si>
    <t>KFY</t>
  </si>
  <si>
    <t>Korn Ferry Common Stock</t>
  </si>
  <si>
    <t>KGC</t>
  </si>
  <si>
    <t>Kinross Gold Corporation Common Stock</t>
  </si>
  <si>
    <t>KIM</t>
  </si>
  <si>
    <t>Kimco Realty Corporation Common Stock</t>
  </si>
  <si>
    <t>KIM^L</t>
  </si>
  <si>
    <t>Kimco Realty Corporation Class L Depositary Shares each of which represents a one-one thousandth fractional interest in a share of 5.125% Class L Cumulative Redeemable Preferred Stock liquidation preference $25000.00 per share</t>
  </si>
  <si>
    <t>KIM^M</t>
  </si>
  <si>
    <t>Kimco Realty Corporation Class M Depositary Shares each of which represents a one-one thousandth fractional interest in a share of 5.25% Class M Cumulative Redeemable Preferred Stock liquidation preference $25000.00 per share</t>
  </si>
  <si>
    <t>KIO</t>
  </si>
  <si>
    <t>KKR Income Opportunities Fund Common Shares</t>
  </si>
  <si>
    <t>KKR</t>
  </si>
  <si>
    <t>KKR &amp; Co. Inc. Common Stock</t>
  </si>
  <si>
    <t>KKR^B</t>
  </si>
  <si>
    <t>KKR &amp; Co. Inc. 6.50% Series B Preferred Stock</t>
  </si>
  <si>
    <t>KKR^C</t>
  </si>
  <si>
    <t>KKR &amp; Co. Inc. 6.00% Series C Mandatory Convertible Preferred Stock</t>
  </si>
  <si>
    <t>KKRS</t>
  </si>
  <si>
    <t>KKR Group Finance Co. IX LLC 4.625% Subordinated Notes due 2061</t>
  </si>
  <si>
    <t>KL</t>
  </si>
  <si>
    <t>Kirkland Lake Gold Ltd. Common Shares</t>
  </si>
  <si>
    <t>KMB</t>
  </si>
  <si>
    <t>Kimberly-Clark Corporation Common Stock</t>
  </si>
  <si>
    <t>KMF</t>
  </si>
  <si>
    <t>Kayne Anderson NextGen Energy &amp; Infrastructure Inc.</t>
  </si>
  <si>
    <t>KMI</t>
  </si>
  <si>
    <t>Kinder Morgan Inc. Common Stock</t>
  </si>
  <si>
    <t>KMPR</t>
  </si>
  <si>
    <t>Kemper Corporation</t>
  </si>
  <si>
    <t>KMT</t>
  </si>
  <si>
    <t>Kennametal Inc. Common Stock</t>
  </si>
  <si>
    <t>KMX</t>
  </si>
  <si>
    <t>CarMax Inc</t>
  </si>
  <si>
    <t>KN</t>
  </si>
  <si>
    <t>Knowles Corporation Common Stock</t>
  </si>
  <si>
    <t>KNOP</t>
  </si>
  <si>
    <t>KNOT Offshore Partners LP Common Units representing Limited Partner Interests</t>
  </si>
  <si>
    <t>KNX</t>
  </si>
  <si>
    <t>Knight-Swift Transportation Holdings Inc.</t>
  </si>
  <si>
    <t>KO</t>
  </si>
  <si>
    <t>Coca-Cola Company (The) Common Stock</t>
  </si>
  <si>
    <t>KODK</t>
  </si>
  <si>
    <t>Eastman Kodak Company Common New</t>
  </si>
  <si>
    <t>KOF</t>
  </si>
  <si>
    <t>Coca Cola Femsa S.A.B. de C.V.  American Depositary Shares each representing 10 Units (each Unit consists of 3 Series B Shares and 5 Series L Shares)</t>
  </si>
  <si>
    <t>KOP</t>
  </si>
  <si>
    <t>Koppers Holdings Inc. Koppers Holdings Inc. Common Stock</t>
  </si>
  <si>
    <t>KOS</t>
  </si>
  <si>
    <t>Kosmos Energy Ltd. Common Shares (DE)</t>
  </si>
  <si>
    <t>KR</t>
  </si>
  <si>
    <t>Kroger Company (The) Common Stock</t>
  </si>
  <si>
    <t>KRA</t>
  </si>
  <si>
    <t>Kraton Corporation Common Stock</t>
  </si>
  <si>
    <t>KRC</t>
  </si>
  <si>
    <t>Kilroy Realty Corporation Common Stock</t>
  </si>
  <si>
    <t>KREF</t>
  </si>
  <si>
    <t>KKR Real Estate Finance Trust Inc. Common Stock</t>
  </si>
  <si>
    <t>KREF^A</t>
  </si>
  <si>
    <t>KKR Real Estate Finance Trust Inc. 6.50% Series A Cumulative Redeemable Preferred Stock</t>
  </si>
  <si>
    <t>KRG</t>
  </si>
  <si>
    <t>Kite Realty Group Trust Common Stock</t>
  </si>
  <si>
    <t>KRO</t>
  </si>
  <si>
    <t>Kronos Worldwide Inc Common Stock</t>
  </si>
  <si>
    <t>KRP</t>
  </si>
  <si>
    <t>Kimbell Royalty Partners Common Units Representing Limited Partner Interests</t>
  </si>
  <si>
    <t>KSM</t>
  </si>
  <si>
    <t>DWS Strategic Municipal Income Trust</t>
  </si>
  <si>
    <t>KSS</t>
  </si>
  <si>
    <t>Kohl's Corporation Common Stock</t>
  </si>
  <si>
    <t>KSU</t>
  </si>
  <si>
    <t>Kansas City Southern Common Stock</t>
  </si>
  <si>
    <t>KSU^</t>
  </si>
  <si>
    <t>Kansas City Southern Preferred Stock</t>
  </si>
  <si>
    <t>KT</t>
  </si>
  <si>
    <t>KT Corporation Common Stock</t>
  </si>
  <si>
    <t>KTB</t>
  </si>
  <si>
    <t>Kontoor Brands Inc. Common Stock</t>
  </si>
  <si>
    <t>KTF</t>
  </si>
  <si>
    <t>DWS Municipal Income Trust</t>
  </si>
  <si>
    <t>KTN</t>
  </si>
  <si>
    <t>Structured Products Corp 8.205% CorTS 8.205% Corporate Backed Trust Securities (CorTS)</t>
  </si>
  <si>
    <t>KUKE</t>
  </si>
  <si>
    <t>Kuke Music Holding Limited American Depositary Shares each representing one Ordinary Share</t>
  </si>
  <si>
    <t>KW</t>
  </si>
  <si>
    <t>Kennedy-Wilson Holdings Inc. Common Stock</t>
  </si>
  <si>
    <t>KWAC</t>
  </si>
  <si>
    <t>Kingswood Acquisition Corp. Class A Common Stock</t>
  </si>
  <si>
    <t>KWR</t>
  </si>
  <si>
    <t>Quaker Chemical Corporation Common Stock</t>
  </si>
  <si>
    <t>KYN</t>
  </si>
  <si>
    <t>Kayne Anderson Energy Infrastructure Fund Inc.</t>
  </si>
  <si>
    <t>L</t>
  </si>
  <si>
    <t>Loews Corporation Common Stock</t>
  </si>
  <si>
    <t>LAC</t>
  </si>
  <si>
    <t>Lithium Americas Corp. Common Shares</t>
  </si>
  <si>
    <t>LAD</t>
  </si>
  <si>
    <t>Lithia Motors Inc. Common Stock</t>
  </si>
  <si>
    <t>LADR</t>
  </si>
  <si>
    <t>Ladder Capital Corp Class A Common Stock</t>
  </si>
  <si>
    <t>LAIX</t>
  </si>
  <si>
    <t>LAIX Inc. American Depositary Shares each  representing one Class A Ordinary Share</t>
  </si>
  <si>
    <t>LAW</t>
  </si>
  <si>
    <t>CS Disco Inc. Common Stock</t>
  </si>
  <si>
    <t>LAZ</t>
  </si>
  <si>
    <t>Lazard LTD. Lazard LTD. Class A Common Stock</t>
  </si>
  <si>
    <t>LBRT</t>
  </si>
  <si>
    <t>Liberty Oilfield Services Inc. Class A Common Stock</t>
  </si>
  <si>
    <t>LC</t>
  </si>
  <si>
    <t>LendingClub Corporation Common Stock</t>
  </si>
  <si>
    <t>LCI</t>
  </si>
  <si>
    <t>Lannett Co Inc Common Stock</t>
  </si>
  <si>
    <t>LCII</t>
  </si>
  <si>
    <t>LCI Industries</t>
  </si>
  <si>
    <t>LDI</t>
  </si>
  <si>
    <t>loanDepot Inc. Class A Common Stock</t>
  </si>
  <si>
    <t>LDL</t>
  </si>
  <si>
    <t>Lydall Inc. Common Stock</t>
  </si>
  <si>
    <t>LDOS</t>
  </si>
  <si>
    <t>Leidos Holdings Inc. Common Stock</t>
  </si>
  <si>
    <t>LDP</t>
  </si>
  <si>
    <t>Cohen &amp; Steers Limited Duration Preferred and Income Fund Inc.</t>
  </si>
  <si>
    <t>LEA</t>
  </si>
  <si>
    <t>Lear Corporation Common Stock</t>
  </si>
  <si>
    <t>LEAP</t>
  </si>
  <si>
    <t>Ribbit LEAP Ltd. Class A Ordinary Shares</t>
  </si>
  <si>
    <t>LEG</t>
  </si>
  <si>
    <t>Leggett &amp; Platt Incorporated Common Stock</t>
  </si>
  <si>
    <t>LEJU</t>
  </si>
  <si>
    <t>Leju Holdings Limited American Depositary Shares each representing one Ordinary share</t>
  </si>
  <si>
    <t>LEN</t>
  </si>
  <si>
    <t>Lennar Corporation Class A Common Stock</t>
  </si>
  <si>
    <t>LEO</t>
  </si>
  <si>
    <t>BNY Mellon Strategic Municipals Inc. Common Stock</t>
  </si>
  <si>
    <t>LEV</t>
  </si>
  <si>
    <t>The Lion Electric Company Common Shares</t>
  </si>
  <si>
    <t>LEVI</t>
  </si>
  <si>
    <t>Levi Strauss &amp; Co Class A Common Stock</t>
  </si>
  <si>
    <t>LFC</t>
  </si>
  <si>
    <t>China Life Insurance Company Limited American Depositary Shares</t>
  </si>
  <si>
    <t>LFT</t>
  </si>
  <si>
    <t>Lument Finance Trust Inc. Common Stock</t>
  </si>
  <si>
    <t>LFT^A</t>
  </si>
  <si>
    <t>Lument Finance Trust Inc. 7.875% Series A Cumulative Redeemable Preferred Stock</t>
  </si>
  <si>
    <t>LGI</t>
  </si>
  <si>
    <t>Lazard Global Total Return and Income Fund Common Stock</t>
  </si>
  <si>
    <t>LGV</t>
  </si>
  <si>
    <t>Longview Acquisition Corp. II Class A Common Stock</t>
  </si>
  <si>
    <t>LH</t>
  </si>
  <si>
    <t>Laboratory Corporation of America Holdings Common Stock</t>
  </si>
  <si>
    <t>LHC</t>
  </si>
  <si>
    <t>Leo Holdings Corp. II Class A Ordinary Shares</t>
  </si>
  <si>
    <t>LHX</t>
  </si>
  <si>
    <t>L3Harris Technologies Inc. Common Stock</t>
  </si>
  <si>
    <t>LII</t>
  </si>
  <si>
    <t>Lennox International Inc. Common Stock</t>
  </si>
  <si>
    <t>LIII</t>
  </si>
  <si>
    <t>Leo Holdings III Corp. Class A Ordinary Shares</t>
  </si>
  <si>
    <t>LIN</t>
  </si>
  <si>
    <t>Linde plc Ordinary Share</t>
  </si>
  <si>
    <t>LITB</t>
  </si>
  <si>
    <t>LightInTheBox Holding Co. Ltd. American Depositary Shares each representing 2 ordinary shares</t>
  </si>
  <si>
    <t>LL</t>
  </si>
  <si>
    <t>Lumber Liquidators Holdings Inc Common Stock</t>
  </si>
  <si>
    <t>LLY</t>
  </si>
  <si>
    <t>Eli Lilly and Company Common Stock</t>
  </si>
  <si>
    <t>LMND</t>
  </si>
  <si>
    <t>Lemonade Inc. Common Stock</t>
  </si>
  <si>
    <t>LMT</t>
  </si>
  <si>
    <t>Lockheed Martin Corporation Common Stock</t>
  </si>
  <si>
    <t>LNC</t>
  </si>
  <si>
    <t>Lincoln National Corporation Common Stock</t>
  </si>
  <si>
    <t>LND</t>
  </si>
  <si>
    <t>Brasilagro Brazilian Agric Real Estate Co Sponsored ADR (Brazil)</t>
  </si>
  <si>
    <t>LNFA</t>
  </si>
  <si>
    <t>L&amp;amp;F Acquisition Corp. Class A Ordinary Shares</t>
  </si>
  <si>
    <t>LNN</t>
  </si>
  <si>
    <t>Lindsay Corporation Common Stock</t>
  </si>
  <si>
    <t>LOKB</t>
  </si>
  <si>
    <t>Live Oak Acquisition Corp. II Class A Common Stock</t>
  </si>
  <si>
    <t>LOKM</t>
  </si>
  <si>
    <t>Live Oak Mobility Acquisition Corp. Class A Common Stock</t>
  </si>
  <si>
    <t>LOMA</t>
  </si>
  <si>
    <t>Loma Negra Compania Industrial Argentina Sociedad Anonima ADS</t>
  </si>
  <si>
    <t>LOW</t>
  </si>
  <si>
    <t>Lowe's Companies Inc. Common Stock</t>
  </si>
  <si>
    <t>LPG</t>
  </si>
  <si>
    <t>Dorian LPG Ltd. Common Stock</t>
  </si>
  <si>
    <t>LPI</t>
  </si>
  <si>
    <t>Laredo Petroleum Inc. Common Stock</t>
  </si>
  <si>
    <t>LPL</t>
  </si>
  <si>
    <t>LG Display Co Ltd AMERICAN DEPOSITORY SHARES</t>
  </si>
  <si>
    <t>LPX</t>
  </si>
  <si>
    <t>Louisiana-Pacific Corporation Common Stock</t>
  </si>
  <si>
    <t>LRN</t>
  </si>
  <si>
    <t>Stride Inc. Common Stock</t>
  </si>
  <si>
    <t>LSI</t>
  </si>
  <si>
    <t>Life Storage Inc. Common Stock</t>
  </si>
  <si>
    <t>LSPD</t>
  </si>
  <si>
    <t>Lightspeed POS Inc. Subordinate Voting Shares</t>
  </si>
  <si>
    <t>LTC</t>
  </si>
  <si>
    <t>LTC Properties Inc. Common Stock</t>
  </si>
  <si>
    <t>LTHM</t>
  </si>
  <si>
    <t>Livent Corporation Common Stock</t>
  </si>
  <si>
    <t>LU</t>
  </si>
  <si>
    <t>Lufax Holding Ltd American Depositary Shares two of which representing one Ordinary Share</t>
  </si>
  <si>
    <t>LUB</t>
  </si>
  <si>
    <t>Luby's Inc. Common Stock</t>
  </si>
  <si>
    <t>LUMN</t>
  </si>
  <si>
    <t>Lumen Technologies Inc. Common Stock</t>
  </si>
  <si>
    <t>LUV</t>
  </si>
  <si>
    <t>Southwest Airlines Company Common Stock</t>
  </si>
  <si>
    <t>LVS</t>
  </si>
  <si>
    <t>Las Vegas Sands Corp. Common Stock</t>
  </si>
  <si>
    <t>LW</t>
  </si>
  <si>
    <t>Lamb Weston Holdings Inc. Common Stock</t>
  </si>
  <si>
    <t>LXP</t>
  </si>
  <si>
    <t>Lexington Realty Trust Common Stock</t>
  </si>
  <si>
    <t>LXP^C</t>
  </si>
  <si>
    <t>Lexington Realty Trust  Preferred Conv. Series C</t>
  </si>
  <si>
    <t>LXU</t>
  </si>
  <si>
    <t>LSB Industries Inc. Common Stock</t>
  </si>
  <si>
    <t>LYB</t>
  </si>
  <si>
    <t>LyondellBasell Industries NV Ordinary Shares Class A (Netherlands)</t>
  </si>
  <si>
    <t>LYG</t>
  </si>
  <si>
    <t>Lloyds Banking Group Plc American Depositary Shares</t>
  </si>
  <si>
    <t>LYV</t>
  </si>
  <si>
    <t>Live Nation Entertainment Inc. Common Stock</t>
  </si>
  <si>
    <t>LZB</t>
  </si>
  <si>
    <t>La-Z-Boy Incorporated Common Stock</t>
  </si>
  <si>
    <t>M</t>
  </si>
  <si>
    <t>Macy's Inc Common Stock</t>
  </si>
  <si>
    <t>MA</t>
  </si>
  <si>
    <t>Mastercard Incorporated Common Stock</t>
  </si>
  <si>
    <t>MAA</t>
  </si>
  <si>
    <t>Mid-America Apartment Communities Inc. Common Stock</t>
  </si>
  <si>
    <t>MAA^I</t>
  </si>
  <si>
    <t>Mid-America Apartment Communities Inc. 8.50% Series I Cumulative Redeemable Preferred Stock</t>
  </si>
  <si>
    <t>MAC</t>
  </si>
  <si>
    <t>Macerich Company (The) Common Stock</t>
  </si>
  <si>
    <t>MACC</t>
  </si>
  <si>
    <t>Mission Advancement Corp. Class A Common Stock</t>
  </si>
  <si>
    <t>MAIN</t>
  </si>
  <si>
    <t>Main Street Capital Corporation Common Stock</t>
  </si>
  <si>
    <t>MAN</t>
  </si>
  <si>
    <t>ManpowerGroup Common Stock</t>
  </si>
  <si>
    <t>MANU</t>
  </si>
  <si>
    <t>Manchester United Ltd. Class A Ordinary Shares</t>
  </si>
  <si>
    <t>MAS</t>
  </si>
  <si>
    <t>Masco Corporation Common Stock</t>
  </si>
  <si>
    <t>MATX</t>
  </si>
  <si>
    <t>Matson Inc. Common Stock</t>
  </si>
  <si>
    <t>MAV</t>
  </si>
  <si>
    <t>Pioneer Municipal High Income Advantage Fund Inc.</t>
  </si>
  <si>
    <t>MAX</t>
  </si>
  <si>
    <t>MediaAlpha Inc. Class A Common Stock</t>
  </si>
  <si>
    <t>MAXR</t>
  </si>
  <si>
    <t>Maxar Technologies Inc.</t>
  </si>
  <si>
    <t>MBAC</t>
  </si>
  <si>
    <t>M3-Brigade Acquisition II Corp. Class A Common Stock</t>
  </si>
  <si>
    <t>MBI</t>
  </si>
  <si>
    <t>MBIA Inc. Common Stock</t>
  </si>
  <si>
    <t>MBT</t>
  </si>
  <si>
    <t>Mobile TeleSystems PJSC</t>
  </si>
  <si>
    <t>MC</t>
  </si>
  <si>
    <t>Moelis &amp; Company Class A Common Stock</t>
  </si>
  <si>
    <t>MCA</t>
  </si>
  <si>
    <t>Blackrock MuniYield California Quality Fund Inc. Common Stock</t>
  </si>
  <si>
    <t>MCB</t>
  </si>
  <si>
    <t>Metropolitan Bank Holding Corp. Common Stock</t>
  </si>
  <si>
    <t>MCD</t>
  </si>
  <si>
    <t>McDonald's Corporation Common Stock</t>
  </si>
  <si>
    <t>MCG</t>
  </si>
  <si>
    <t>Membership Collective Group Inc. Class A Common Stock</t>
  </si>
  <si>
    <t>MCI</t>
  </si>
  <si>
    <t>Barings Corporate Investors Common Stock</t>
  </si>
  <si>
    <t>MCK</t>
  </si>
  <si>
    <t>McKesson Corporation Common Stock</t>
  </si>
  <si>
    <t>MCN</t>
  </si>
  <si>
    <t>Madison Covered Call &amp; Equity Strategy Fund Common Stock</t>
  </si>
  <si>
    <t>MCO</t>
  </si>
  <si>
    <t>Moody's Corporation Common Stock</t>
  </si>
  <si>
    <t>MCR</t>
  </si>
  <si>
    <t>MFS Charter Income Trust Common Stock</t>
  </si>
  <si>
    <t>MCS</t>
  </si>
  <si>
    <t>Marcus Corporation (The) Common Stock</t>
  </si>
  <si>
    <t>MCW</t>
  </si>
  <si>
    <t>Mister Car Wash Inc. Common Stock</t>
  </si>
  <si>
    <t>MCY</t>
  </si>
  <si>
    <t>Mercury General Corporation Common Stock</t>
  </si>
  <si>
    <t>MD</t>
  </si>
  <si>
    <t>Mednax Inc. Common Stock</t>
  </si>
  <si>
    <t>MDC</t>
  </si>
  <si>
    <t>M.D.C. Holdings Inc. Common Stock</t>
  </si>
  <si>
    <t>MDH</t>
  </si>
  <si>
    <t>MDH Acquisition Corp. Class A Common Stock</t>
  </si>
  <si>
    <t>MDLA</t>
  </si>
  <si>
    <t>Medallia Inc. Common Stock</t>
  </si>
  <si>
    <t>MDP</t>
  </si>
  <si>
    <t>Meredith Corporation Common Stock</t>
  </si>
  <si>
    <t>MDT</t>
  </si>
  <si>
    <t>Medtronic plc. Ordinary Shares</t>
  </si>
  <si>
    <t>MDU</t>
  </si>
  <si>
    <t>MDU Resources Group Inc. Common Stock (Holding Company)</t>
  </si>
  <si>
    <t>MEC</t>
  </si>
  <si>
    <t>Mayville Engineering Company Inc. Common Stock</t>
  </si>
  <si>
    <t>MED</t>
  </si>
  <si>
    <t>MEDIFAST INC Common Stock</t>
  </si>
  <si>
    <t>MEG</t>
  </si>
  <si>
    <t>Montrose Environmental Group Inc. Common Stock</t>
  </si>
  <si>
    <t>MEI</t>
  </si>
  <si>
    <t>Methode Electronics Inc. Common Stock</t>
  </si>
  <si>
    <t>MER^K</t>
  </si>
  <si>
    <t>Bank of America Corporation Income Capital Obligation Notes initially due December 15 2066</t>
  </si>
  <si>
    <t>MET</t>
  </si>
  <si>
    <t>MetLife Inc. Common Stock</t>
  </si>
  <si>
    <t>MET^A</t>
  </si>
  <si>
    <t>MetLife Inc. Preferred Series A Floating Rate</t>
  </si>
  <si>
    <t>MET^E</t>
  </si>
  <si>
    <t>MetLife Inc. Depositary shares each representing a 1/1000th interest in a share of the Issuera??s 5.625% Non-Cumulative Preferred Stock Series E.</t>
  </si>
  <si>
    <t>MET^F</t>
  </si>
  <si>
    <t>MetLife Inc. Depositary Shares each representing a 1/1000th interest in a share of 4.75% Non-Cumulative Preferred Stock Series F</t>
  </si>
  <si>
    <t>MFA</t>
  </si>
  <si>
    <t>MFA Financial Inc.</t>
  </si>
  <si>
    <t>MFA^B</t>
  </si>
  <si>
    <t>MFA Financial Inc. Preferred Series B</t>
  </si>
  <si>
    <t>MFA^C</t>
  </si>
  <si>
    <t>MFA Financial Inc. 6.50% Series C Fixed-to-Floating Rate Cumulative Redeemable Preferred Stock</t>
  </si>
  <si>
    <t>MFC</t>
  </si>
  <si>
    <t>Manulife Financial Corporation Common Stock</t>
  </si>
  <si>
    <t>MFD</t>
  </si>
  <si>
    <t>Macquarie First Trust Global Common Stock</t>
  </si>
  <si>
    <t>MFG</t>
  </si>
  <si>
    <t>Mizuho Financial Group Inc. Sponosred ADR (Japan)</t>
  </si>
  <si>
    <t>MFGP</t>
  </si>
  <si>
    <t>Micro Focus Intl PLC ADS each representing One Ord Sh</t>
  </si>
  <si>
    <t>MFL</t>
  </si>
  <si>
    <t>Blackrock MuniHoldings Investment Quality Fund Common Shares of Beneficial Interest</t>
  </si>
  <si>
    <t>MFM</t>
  </si>
  <si>
    <t>MFV</t>
  </si>
  <si>
    <t>MFS Special Value Trust Common Stock</t>
  </si>
  <si>
    <t>MG</t>
  </si>
  <si>
    <t>Mistras Group Inc Common Stock</t>
  </si>
  <si>
    <t>MGA</t>
  </si>
  <si>
    <t>Magna International Inc. Common Stock</t>
  </si>
  <si>
    <t>MGF</t>
  </si>
  <si>
    <t>MFS Government Markets Income Trust Common Stock</t>
  </si>
  <si>
    <t>MGM</t>
  </si>
  <si>
    <t>MGM Resorts International Common Stock</t>
  </si>
  <si>
    <t>MGP</t>
  </si>
  <si>
    <t>MGM Growth Properties LLC Class A common shares representing limited liability company interests</t>
  </si>
  <si>
    <t>MGR</t>
  </si>
  <si>
    <t>Affiliated Managers Group Inc. 5.875% Junior Subordinated Notes due 2059</t>
  </si>
  <si>
    <t>MGRB</t>
  </si>
  <si>
    <t>Affiliated Managers Group Inc. 4.750% Junior Subordinated Notes due 2060</t>
  </si>
  <si>
    <t>MGRD</t>
  </si>
  <si>
    <t>Affiliated Managers Group Inc. 4.200% Junior Subordinated Notes due 2061</t>
  </si>
  <si>
    <t>MGU</t>
  </si>
  <si>
    <t>Macquarie Global Infrastructure Total Return Fund Inc. Common Stock</t>
  </si>
  <si>
    <t>MGY</t>
  </si>
  <si>
    <t>Magnolia Oil &amp; Gas Corporation Class A Common Stock</t>
  </si>
  <si>
    <t>MH^A</t>
  </si>
  <si>
    <t>Maiden Holdings Ltd. Pref Shs Ser A (Bermuda)</t>
  </si>
  <si>
    <t>MH^C</t>
  </si>
  <si>
    <t>Maiden Holdings North America Ltd. 7.125% Non-Cumulative Preference Shares Series C</t>
  </si>
  <si>
    <t>MH^D</t>
  </si>
  <si>
    <t>Maiden Holdings Ltd. 6.700% Non-Cumulative Preference Shares Series D</t>
  </si>
  <si>
    <t>MHD</t>
  </si>
  <si>
    <t>Blackrock MuniHoldings Fund Inc. Common Stock</t>
  </si>
  <si>
    <t>MHF</t>
  </si>
  <si>
    <t>Western Asset Municipal High Income Fund Inc. Common Stock</t>
  </si>
  <si>
    <t>MHI</t>
  </si>
  <si>
    <t>Pioneer Municipal High Income Fund Inc.</t>
  </si>
  <si>
    <t>MHK</t>
  </si>
  <si>
    <t>Mohawk Industries Inc. Common Stock</t>
  </si>
  <si>
    <t>MHLA</t>
  </si>
  <si>
    <t>Maiden Holdings Ltd. 6.625% Notes due 2046</t>
  </si>
  <si>
    <t>MHN</t>
  </si>
  <si>
    <t>Blackrock MuniHoldings New York Quality Fund Inc. Common Stock</t>
  </si>
  <si>
    <t>MHNC</t>
  </si>
  <si>
    <t>Maiden Holdings North America Ltd. 7.75% Notes due 2043</t>
  </si>
  <si>
    <t>MHO</t>
  </si>
  <si>
    <t>M/I Homes Inc. Common Stock</t>
  </si>
  <si>
    <t>MIC</t>
  </si>
  <si>
    <t>Macquarie Infrastructure Corporation Common Stock</t>
  </si>
  <si>
    <t>MIN</t>
  </si>
  <si>
    <t>MFS Intermediate Income Trust Common Stock</t>
  </si>
  <si>
    <t>MIT</t>
  </si>
  <si>
    <t>Mason Industrial Technology Inc. Class A Common Stock</t>
  </si>
  <si>
    <t>MITT</t>
  </si>
  <si>
    <t>AG Mortgage Investment Trust Inc. Common Stock</t>
  </si>
  <si>
    <t>MITT^A</t>
  </si>
  <si>
    <t>AG Mortgage Investment Trust Inc. 8.25% Preferred Series A</t>
  </si>
  <si>
    <t>MITT^B</t>
  </si>
  <si>
    <t>AG Mortgage Investment Trust Inc. Preferred Series B</t>
  </si>
  <si>
    <t>MITT^C</t>
  </si>
  <si>
    <t>AG Mortgage Investment Trust Inc. 8.00% Series C Fixed-to-Floating Rate Cumulative Redeemable Preferred Stock $0.01 par value per share</t>
  </si>
  <si>
    <t>MIXT</t>
  </si>
  <si>
    <t>MiX Telematics Limited American Depositary Shares each representing 25 Ordinary Shares</t>
  </si>
  <si>
    <t>MIY</t>
  </si>
  <si>
    <t>Blackrock MuniYield Michigan Quality Fund Inc. Common Stock</t>
  </si>
  <si>
    <t>MKC</t>
  </si>
  <si>
    <t>McCormick &amp; Company Incorporated Common Stock</t>
  </si>
  <si>
    <t>MKFG</t>
  </si>
  <si>
    <t>Markforged Holding Corporation Common Stock</t>
  </si>
  <si>
    <t>MKL</t>
  </si>
  <si>
    <t>Markel Corporation Common Stock</t>
  </si>
  <si>
    <t>MLI</t>
  </si>
  <si>
    <t>Mueller Industries Inc. Common Stock</t>
  </si>
  <si>
    <t>MLM</t>
  </si>
  <si>
    <t>Martin Marietta Materials Inc. Common Stock</t>
  </si>
  <si>
    <t>MLNK</t>
  </si>
  <si>
    <t>MeridianLink Inc. Common Stock</t>
  </si>
  <si>
    <t>MLP</t>
  </si>
  <si>
    <t>Maui Land &amp; Pineapple Company Inc. Common Stock</t>
  </si>
  <si>
    <t>MLR</t>
  </si>
  <si>
    <t>Miller Industries Inc. Common Stock</t>
  </si>
  <si>
    <t>MMC</t>
  </si>
  <si>
    <t>Marsh &amp; McLennan Companies Inc. Common Stock</t>
  </si>
  <si>
    <t>MMD</t>
  </si>
  <si>
    <t>MainStay MacKay DefinedTerm Municipal Opportunities Fund</t>
  </si>
  <si>
    <t>MMI</t>
  </si>
  <si>
    <t>Marcus &amp; Millichap Inc. Common Stock</t>
  </si>
  <si>
    <t>MMM</t>
  </si>
  <si>
    <t>3M Company Common Stock</t>
  </si>
  <si>
    <t>MMP</t>
  </si>
  <si>
    <t>Magellan Midstream Partners L.P. Limited Partnership</t>
  </si>
  <si>
    <t>MMS</t>
  </si>
  <si>
    <t>Maximus Inc. Common Stock</t>
  </si>
  <si>
    <t>MMT</t>
  </si>
  <si>
    <t>MFS Multimarket Income Trust Common Stock</t>
  </si>
  <si>
    <t>MMU</t>
  </si>
  <si>
    <t>Western Asset Managed Municipals Fund Inc. Common Stock</t>
  </si>
  <si>
    <t>MN</t>
  </si>
  <si>
    <t>Manning &amp; Napier Inc. Class A Common Stock</t>
  </si>
  <si>
    <t>MNP</t>
  </si>
  <si>
    <t>Western Asset Municipal Partners Fund Inc. Common Stock</t>
  </si>
  <si>
    <t>MNR</t>
  </si>
  <si>
    <t>Monmouth Real Estate Investment Corporation Class A Common Stock</t>
  </si>
  <si>
    <t>MNR^C</t>
  </si>
  <si>
    <t>Monmouth Real Estate Investment Corporation 6.125% Series C Cumulative Redeemable Preferred Stock</t>
  </si>
  <si>
    <t>MNRL</t>
  </si>
  <si>
    <t>Brigham Minerals Inc. Class A Common Stock</t>
  </si>
  <si>
    <t>MNSO</t>
  </si>
  <si>
    <t>MINISO Group Holding Limited American Depositary Shares each representing four Class A Ordinary Shares</t>
  </si>
  <si>
    <t>MO</t>
  </si>
  <si>
    <t>Altria Group Inc.</t>
  </si>
  <si>
    <t>MOD</t>
  </si>
  <si>
    <t>Modine Manufacturing Company Common Stock</t>
  </si>
  <si>
    <t>MODN</t>
  </si>
  <si>
    <t>Model N Inc. Common Stock</t>
  </si>
  <si>
    <t>MOGU</t>
  </si>
  <si>
    <t>MOGU Inc. American Depositary Shares (each  representing 25 Class A Ordinary Shares)</t>
  </si>
  <si>
    <t>MOH</t>
  </si>
  <si>
    <t>Molina Healthcare Inc Common Stock</t>
  </si>
  <si>
    <t>MOS</t>
  </si>
  <si>
    <t>Mosaic Company (The) Common Stock</t>
  </si>
  <si>
    <t>MOTV</t>
  </si>
  <si>
    <t>Motive Capital Corp Class A Ordinary Shares</t>
  </si>
  <si>
    <t>MOV</t>
  </si>
  <si>
    <t>Movado Group Inc. Common Stock</t>
  </si>
  <si>
    <t>MP</t>
  </si>
  <si>
    <t>MP Materials Corp. Common Stock</t>
  </si>
  <si>
    <t>MPA</t>
  </si>
  <si>
    <t>Blackrock MuniYield Pennsylvania Quality Fund Common Stock</t>
  </si>
  <si>
    <t>MPC</t>
  </si>
  <si>
    <t>Marathon Petroleum Corporation Common Stock</t>
  </si>
  <si>
    <t>MPLN</t>
  </si>
  <si>
    <t>MultiPlan Corporation Class A Common Stock</t>
  </si>
  <si>
    <t>MPLX</t>
  </si>
  <si>
    <t>MPLX LP Common Units Representing Limited Partner Interests</t>
  </si>
  <si>
    <t>MPV</t>
  </si>
  <si>
    <t>Barings Participation Investors Common Stock</t>
  </si>
  <si>
    <t>MPW</t>
  </si>
  <si>
    <t>Medical Properties Trust Inc. common stock</t>
  </si>
  <si>
    <t>MPX</t>
  </si>
  <si>
    <t>Marine Products Corporation Common Stock</t>
  </si>
  <si>
    <t>MQT</t>
  </si>
  <si>
    <t>Blackrock MuniYield Quality Fund II Inc. Common Stock</t>
  </si>
  <si>
    <t>MQY</t>
  </si>
  <si>
    <t>Blackrock MuniYield Quality Fund Inc. Common Stock</t>
  </si>
  <si>
    <t>MRC</t>
  </si>
  <si>
    <t>MRC Global Inc. Common Stock</t>
  </si>
  <si>
    <t>MRK</t>
  </si>
  <si>
    <t>Merck &amp; Company Inc. Common Stock (new)</t>
  </si>
  <si>
    <t>MRO</t>
  </si>
  <si>
    <t>Marathon Oil Corporation Common Stock</t>
  </si>
  <si>
    <t>MS</t>
  </si>
  <si>
    <t>Morgan Stanley Common Stock</t>
  </si>
  <si>
    <t>MS^A</t>
  </si>
  <si>
    <t>Morgan Stanley Dep Shs repstg 1/1000 Pfd Ser A</t>
  </si>
  <si>
    <t>MS^E</t>
  </si>
  <si>
    <t>Morgan Stanley DEPOSITARY SHARES REP 1/1000TH SHARES FIXED/FLTG PREFERRED STOCK SERIES E</t>
  </si>
  <si>
    <t>MS^F</t>
  </si>
  <si>
    <t>Morgan Stanley Dep Shs Rpstg 1/1000th Int Prd Ser F Fxd to Flag</t>
  </si>
  <si>
    <t>MS^I</t>
  </si>
  <si>
    <t>Morgan Stanley Depository Shares Representing 1/1000th Preferred Series 1 Fixed to Floating Non (Cum)</t>
  </si>
  <si>
    <t>MS^K</t>
  </si>
  <si>
    <t>Morgan Stanley Depositary Shares each representing 1/1000th of a share of Fixed-to-Floating Rate Non-Cumulative Preferred Stock  Series K</t>
  </si>
  <si>
    <t>MS^L</t>
  </si>
  <si>
    <t>Morgan Stanley Depositary Shares each representing 1/1000th of a share of 4.875% Non-Cumulative Preferred Stock Series L</t>
  </si>
  <si>
    <t>MSA</t>
  </si>
  <si>
    <t>MSA Safety Incorporated Common Stock</t>
  </si>
  <si>
    <t>MSB</t>
  </si>
  <si>
    <t>Mesabi Trust Common Stock</t>
  </si>
  <si>
    <t>MSC</t>
  </si>
  <si>
    <t>Studio City International Holdings Limited American depositary shares each representing four  Class A ordinary shares</t>
  </si>
  <si>
    <t>MSCI</t>
  </si>
  <si>
    <t>MSCI Inc Common Stock</t>
  </si>
  <si>
    <t>MSD</t>
  </si>
  <si>
    <t>Morgan Stanley Emerging Markets Debt Fund Inc. Common Stock</t>
  </si>
  <si>
    <t>MSGE</t>
  </si>
  <si>
    <t>Madison Square Garden Entertainment Corp. Class A Common Stock</t>
  </si>
  <si>
    <t>MSGS</t>
  </si>
  <si>
    <t>Madison Square Garden Sports Corp. Class A Common Stock (New)</t>
  </si>
  <si>
    <t>MSI</t>
  </si>
  <si>
    <t>Motorola Solutions Inc. Common Stock</t>
  </si>
  <si>
    <t>MSM</t>
  </si>
  <si>
    <t>MSC Industrial Direct Company Inc. Common Stock</t>
  </si>
  <si>
    <t>MSP</t>
  </si>
  <si>
    <t>Datto Holding Corp. Common Stock</t>
  </si>
  <si>
    <t>MT</t>
  </si>
  <si>
    <t>Arcelor Mittal NY Registry Shares NEW</t>
  </si>
  <si>
    <t>MTB</t>
  </si>
  <si>
    <t>M&amp;T Bank Corporation Common Stock</t>
  </si>
  <si>
    <t>MTCN</t>
  </si>
  <si>
    <t>ArcelorMittal 5.50% Mandatorily Convertible Subordinated Notes due 2023</t>
  </si>
  <si>
    <t>MTD</t>
  </si>
  <si>
    <t>Mettler-Toledo International Inc. Common Stock</t>
  </si>
  <si>
    <t>MTDR</t>
  </si>
  <si>
    <t>Matador Resources Company Common Stock</t>
  </si>
  <si>
    <t>MTG</t>
  </si>
  <si>
    <t>MGIC Investment Corporation Common Stock</t>
  </si>
  <si>
    <t>MTH</t>
  </si>
  <si>
    <t>Meritage Homes Corporation Common Stock</t>
  </si>
  <si>
    <t>MTL</t>
  </si>
  <si>
    <t>Mechel PAO American Depositary Shares (Each rep. 1 common shares)</t>
  </si>
  <si>
    <t>MTL^</t>
  </si>
  <si>
    <t>Mechel PAO American Depositary Shares (each representing one-half of a Preferred Share)</t>
  </si>
  <si>
    <t>MTN</t>
  </si>
  <si>
    <t>Vail Resorts Inc. Common Stock</t>
  </si>
  <si>
    <t>MTOR</t>
  </si>
  <si>
    <t>Meritor Inc. Common Stock</t>
  </si>
  <si>
    <t>MTR</t>
  </si>
  <si>
    <t>Mesa Royalty Trust Common Stock</t>
  </si>
  <si>
    <t>MTRN</t>
  </si>
  <si>
    <t>Materion Corporation</t>
  </si>
  <si>
    <t>MTW</t>
  </si>
  <si>
    <t>Manitowoc Company Inc. (The) Common Stock</t>
  </si>
  <si>
    <t>MTX</t>
  </si>
  <si>
    <t>Minerals Technologies Inc. Common Stock</t>
  </si>
  <si>
    <t>MTZ</t>
  </si>
  <si>
    <t>MasTec Inc. Common Stock</t>
  </si>
  <si>
    <t>MUA</t>
  </si>
  <si>
    <t>Blackrock MuniAssets Fund Inc Common Stock</t>
  </si>
  <si>
    <t>MUC</t>
  </si>
  <si>
    <t>Blackrock MuniHoldings California Quality Fund Inc.  Common Stock</t>
  </si>
  <si>
    <t>MUE</t>
  </si>
  <si>
    <t>Blackrock MuniHoldings Quality Fund II Inc. Common Stock</t>
  </si>
  <si>
    <t>MUFG</t>
  </si>
  <si>
    <t>Mitsubishi UFJ Financial Group Inc. Common Stock</t>
  </si>
  <si>
    <t>MUI</t>
  </si>
  <si>
    <t>Blackrock Muni Intermediate Duration Fund Inc Common Stock</t>
  </si>
  <si>
    <t>MUJ</t>
  </si>
  <si>
    <t>Blackrock MuniHoldings New Jersey Quality Fund Inc. Common Stock</t>
  </si>
  <si>
    <t>MUR</t>
  </si>
  <si>
    <t>Murphy Oil Corporation Common Stock</t>
  </si>
  <si>
    <t>MUSA</t>
  </si>
  <si>
    <t>Murphy USA Inc. Common Stock</t>
  </si>
  <si>
    <t>MUX</t>
  </si>
  <si>
    <t>McEwen Mining Inc. Common Stock</t>
  </si>
  <si>
    <t>MVF</t>
  </si>
  <si>
    <t>Blackrock MuniVest Fund Inc. Common Stock</t>
  </si>
  <si>
    <t>MVO</t>
  </si>
  <si>
    <t>MV Oil Trust Units of Beneficial Interests</t>
  </si>
  <si>
    <t>MVT</t>
  </si>
  <si>
    <t>Blackrock MuniVest Fund II Inc.  Common Stock</t>
  </si>
  <si>
    <t>MWA</t>
  </si>
  <si>
    <t>MUELLER WATER PRODUCTS Common Stock</t>
  </si>
  <si>
    <t>MX</t>
  </si>
  <si>
    <t>Magnachip Semiconductor Corporation Common Stock</t>
  </si>
  <si>
    <t>MXE</t>
  </si>
  <si>
    <t>Mexico Equity and Income Fund Inc. (The) Common Stock</t>
  </si>
  <si>
    <t>MXF</t>
  </si>
  <si>
    <t>Mexico Fund Inc. (The) Common Stock</t>
  </si>
  <si>
    <t>MXL</t>
  </si>
  <si>
    <t>MaxLinear Inc. Common Stock</t>
  </si>
  <si>
    <t>MYC</t>
  </si>
  <si>
    <t>Blackrock MuniYield California Fund Inc. Common Stock</t>
  </si>
  <si>
    <t>MYD</t>
  </si>
  <si>
    <t>Blackrock MuniYield Fund Inc.  Common Stock</t>
  </si>
  <si>
    <t>MYE</t>
  </si>
  <si>
    <t>Myers Industries Inc. Common Stock</t>
  </si>
  <si>
    <t>MYI</t>
  </si>
  <si>
    <t>Blackrock MuniYield Quality Fund III Inc Common Stock</t>
  </si>
  <si>
    <t>MYJ</t>
  </si>
  <si>
    <t>Blackrock MuniYield New Jersey Fund Inc Common Stock</t>
  </si>
  <si>
    <t>MYN</t>
  </si>
  <si>
    <t>Blackrock MuniYield New York Quality Fund Inc.Common Stock</t>
  </si>
  <si>
    <t>MYOV</t>
  </si>
  <si>
    <t>Myovant Sciences Ltd. Common Shares</t>
  </si>
  <si>
    <t>MYTE</t>
  </si>
  <si>
    <t>MYT Netherlands Parent B.V. American Depositary Shares each representing one Ordinary Share</t>
  </si>
  <si>
    <t>NABL</t>
  </si>
  <si>
    <t>N-able Inc. Common Stock</t>
  </si>
  <si>
    <t>NAC</t>
  </si>
  <si>
    <t>Nuveen California Quality Municipal Income Fund</t>
  </si>
  <si>
    <t>NAD</t>
  </si>
  <si>
    <t>Nuveen Quality Municipal Income Fund Common Stock</t>
  </si>
  <si>
    <t>NAN</t>
  </si>
  <si>
    <t>Nuveen New York Quality Municipal Income Fund Common Stock</t>
  </si>
  <si>
    <t>NAPA</t>
  </si>
  <si>
    <t>The Duckhorn Portfolio Inc. Common Stock</t>
  </si>
  <si>
    <t>NAT</t>
  </si>
  <si>
    <t>Nordic American Tankers Limited Common Stock</t>
  </si>
  <si>
    <t>NAZ</t>
  </si>
  <si>
    <t>Nuveen Arizona Quality Municipal Income Fund Common Stock</t>
  </si>
  <si>
    <t>NBB</t>
  </si>
  <si>
    <t>Nuveen Taxable Municipal Income Fund Common Shares of Beneficial Interest</t>
  </si>
  <si>
    <t>NBHC</t>
  </si>
  <si>
    <t>National Bank Holdings Corporation Common Stock</t>
  </si>
  <si>
    <t>NBR</t>
  </si>
  <si>
    <t>Nabors Industries Ltd.</t>
  </si>
  <si>
    <t>NBXG</t>
  </si>
  <si>
    <t>Neuberger Berman Next Generation Connectivity Fund Inc. Common Stock</t>
  </si>
  <si>
    <t>NC</t>
  </si>
  <si>
    <t>NACCO Industries Inc. Common Stock</t>
  </si>
  <si>
    <t>NCA</t>
  </si>
  <si>
    <t>Nuveen California Municipal Value Fund</t>
  </si>
  <si>
    <t>NCLH</t>
  </si>
  <si>
    <t>Norwegian Cruise Line Holdings Ltd. Ordinary Shares</t>
  </si>
  <si>
    <t>NCR</t>
  </si>
  <si>
    <t>NCR Corporation Common Stock</t>
  </si>
  <si>
    <t>NCV</t>
  </si>
  <si>
    <t>Virtus AllianzGI Convertible &amp; Income Fund Common Shares of Beneficial Interest</t>
  </si>
  <si>
    <t>NCV^A</t>
  </si>
  <si>
    <t>Virtus AllianzGI Convertible &amp; Income Fund 5.625% Series A Cumulative Preferred Shares</t>
  </si>
  <si>
    <t>NCZ</t>
  </si>
  <si>
    <t>Virtus AllianzGI Convertible &amp; Income Fund II Common Shares of Beneficial Interest</t>
  </si>
  <si>
    <t>NCZ^A</t>
  </si>
  <si>
    <t>Virtus AllianzGI Convertible &amp; Income Fund II 5.50% Series A Cumulative Preferred Shares</t>
  </si>
  <si>
    <t>NDMO</t>
  </si>
  <si>
    <t>Nuveen Dynamic Municipal Opportunities Fund Common Shares of Beneficial Interest</t>
  </si>
  <si>
    <t>NDP</t>
  </si>
  <si>
    <t>Tortoise Energy Independence Fund Inc. Common Stock</t>
  </si>
  <si>
    <t>NE</t>
  </si>
  <si>
    <t>Noble Corporation plc Ordinary Shares</t>
  </si>
  <si>
    <t>NEA</t>
  </si>
  <si>
    <t>Nuveen AMT-Free Quality Municipal Income Fund Common Shares of Beneficial Interest Par Value $.01</t>
  </si>
  <si>
    <t>NEE</t>
  </si>
  <si>
    <t>NextEra Energy Inc. Common Stock</t>
  </si>
  <si>
    <t>NEE^K</t>
  </si>
  <si>
    <t>NextEra Energy Inc. Series K Junior Subordinated Debentures due June 1 2076</t>
  </si>
  <si>
    <t>NEE^N</t>
  </si>
  <si>
    <t>NextEra Energy Inc. Series N Junior Subordinated Debentures due March 1 2079</t>
  </si>
  <si>
    <t>NEE^O</t>
  </si>
  <si>
    <t>NextEra Energy Inc. 4.872% Corporate Units</t>
  </si>
  <si>
    <t>NEE^P</t>
  </si>
  <si>
    <t>NextEra Energy Inc. 5.279% Corporate Units</t>
  </si>
  <si>
    <t>NEE^Q</t>
  </si>
  <si>
    <t>NextEra Energy Inc. 6.219% Corporate Units</t>
  </si>
  <si>
    <t>NEM</t>
  </si>
  <si>
    <t>Newmont Corporation</t>
  </si>
  <si>
    <t>NEP</t>
  </si>
  <si>
    <t>NextEra Energy Partners LP Common Units representing limited partner interests</t>
  </si>
  <si>
    <t>NET</t>
  </si>
  <si>
    <t>Cloudflare Inc. Class A Common Stock</t>
  </si>
  <si>
    <t>NETI</t>
  </si>
  <si>
    <t>Eneti Inc. Common Stock</t>
  </si>
  <si>
    <t>NEU</t>
  </si>
  <si>
    <t>NewMarket Corp Common Stock</t>
  </si>
  <si>
    <t>NEV</t>
  </si>
  <si>
    <t>Nuveen Enhanced Municipal Value Fund Common Shares of Beneficial Interest</t>
  </si>
  <si>
    <t>NEW</t>
  </si>
  <si>
    <t>Puxin Limited American Depositary Shares each representing two Ordinary Shares</t>
  </si>
  <si>
    <t>NEWR</t>
  </si>
  <si>
    <t>New Relic Inc. Common Stock</t>
  </si>
  <si>
    <t>NEX</t>
  </si>
  <si>
    <t>NexTier Oilfield Solutions Inc. Common Stock</t>
  </si>
  <si>
    <t>NEXA</t>
  </si>
  <si>
    <t>Nexa Resources S.A. Common Shares</t>
  </si>
  <si>
    <t>NFG</t>
  </si>
  <si>
    <t>National Fuel Gas Company Common Stock</t>
  </si>
  <si>
    <t>NFH</t>
  </si>
  <si>
    <t>New Frontier Health Corporation Ordinary Shares</t>
  </si>
  <si>
    <t>NFJ</t>
  </si>
  <si>
    <t>Virtus Dividend Interest &amp; Premium Strategy Fund Common Shares of Beneficial Interest</t>
  </si>
  <si>
    <t>NGAB</t>
  </si>
  <si>
    <t>Northern Genesis Acquisition Corp. II Common Stock</t>
  </si>
  <si>
    <t>NGC</t>
  </si>
  <si>
    <t>Northern Genesis Acquisition Corp. III Common Stock</t>
  </si>
  <si>
    <t>NGG</t>
  </si>
  <si>
    <t>National Grid Transco PLC National Grid PLC (NEW) American Depositary Shares</t>
  </si>
  <si>
    <t>NGL</t>
  </si>
  <si>
    <t>NGL ENERGY PARTNERS LP Common Units representing Limited Partner Interests</t>
  </si>
  <si>
    <t>NGL^B</t>
  </si>
  <si>
    <t>NGL ENERGY PARTNERS LP 9.00% Class B Fixed-to-Floating Rate Cumulative Redeemable Perpetual Preferred Units representing limited partnership interests</t>
  </si>
  <si>
    <t>NGL^C</t>
  </si>
  <si>
    <t>NGL ENERGY PARTNERS LP 9.625% Class C Fixed-to-Floating Rate Cumulative  Redeemable Perpetual Preferred Units representing  limited partner interests</t>
  </si>
  <si>
    <t>NGS</t>
  </si>
  <si>
    <t>Natural Gas Services Group Inc. Common Stock</t>
  </si>
  <si>
    <t>NGVC</t>
  </si>
  <si>
    <t>Natural Grocers by Vitamin Cottage Inc. Common Stock</t>
  </si>
  <si>
    <t>NGVT</t>
  </si>
  <si>
    <t>Ingevity Corporation Common Stock</t>
  </si>
  <si>
    <t>NHF</t>
  </si>
  <si>
    <t>NexPoint Strategic Opportunities Fund</t>
  </si>
  <si>
    <t>NHF^A</t>
  </si>
  <si>
    <t>NexPoint Strategic Opportunities Fund 5.50% Series A Cumulative Preferred Shares</t>
  </si>
  <si>
    <t>NHI</t>
  </si>
  <si>
    <t>National Health Investors Inc. Common Stock</t>
  </si>
  <si>
    <t>NI</t>
  </si>
  <si>
    <t>NiSource Inc Common Stock</t>
  </si>
  <si>
    <t>NI^B</t>
  </si>
  <si>
    <t>NiSource Inc Depositary Shares representing 1/1000th ownership interest in a share of 6.50% Series B Preferred Stock and 1/1000th ownership interest in a share of Series B-1 Preferred Stock</t>
  </si>
  <si>
    <t>NID</t>
  </si>
  <si>
    <t>Nuveen Intermediate Duration Municipal Term Fund Common Shares of Beneficial Interest</t>
  </si>
  <si>
    <t>NIE</t>
  </si>
  <si>
    <t>Virtus AllianzGI Equity &amp; Convertible Income Fund Common Shares of Beneficial Interest</t>
  </si>
  <si>
    <t>NIM</t>
  </si>
  <si>
    <t>Nuveen Select Maturities Municipal Fund Common Stock</t>
  </si>
  <si>
    <t>NIMC</t>
  </si>
  <si>
    <t>NiSource Inc Series A Corporate Units</t>
  </si>
  <si>
    <t>NINE</t>
  </si>
  <si>
    <t>Nine Energy Service Inc. Common Stock</t>
  </si>
  <si>
    <t>NIO</t>
  </si>
  <si>
    <t>NIO Inc. American depositary shares each  representing one Class A ordinary share</t>
  </si>
  <si>
    <t>NIQ</t>
  </si>
  <si>
    <t>Nuveenn Intermediate Duration Quality Municipal Term Fund Common Shares of Beneficial Interest</t>
  </si>
  <si>
    <t>NJR</t>
  </si>
  <si>
    <t>NewJersey Resources Corporation Common Stock</t>
  </si>
  <si>
    <t>NKE</t>
  </si>
  <si>
    <t>Nike Inc. Common Stock</t>
  </si>
  <si>
    <t>NKG</t>
  </si>
  <si>
    <t>Nuveen Georgia Quality Municipal Income Fund</t>
  </si>
  <si>
    <t>NKX</t>
  </si>
  <si>
    <t>Nuveen California AMT-Free Quality Municipal Income Fund</t>
  </si>
  <si>
    <t>NL</t>
  </si>
  <si>
    <t>NL Industries Inc. Common Stock</t>
  </si>
  <si>
    <t>NLS</t>
  </si>
  <si>
    <t>Nautilus Inc. Common Stock</t>
  </si>
  <si>
    <t>NLSN</t>
  </si>
  <si>
    <t>Nielsen N.V. Ordinary Shares</t>
  </si>
  <si>
    <t>NLY</t>
  </si>
  <si>
    <t>Annaly Capital Management Inc Common Stock</t>
  </si>
  <si>
    <t>NLY^F</t>
  </si>
  <si>
    <t>Annaly Capital Management Inc 6.95% Series F</t>
  </si>
  <si>
    <t>NLY^G</t>
  </si>
  <si>
    <t>Annaly Capital Management Inc 6.50% Series G Fixed-to-Floating Rate Cumulative Redeemable Preferred Stock</t>
  </si>
  <si>
    <t>NLY^I</t>
  </si>
  <si>
    <t>Annaly Capital Management Inc 6.750% Series I Fixed-to-Floating Rate Cumulative Redeemable Preferred Stock</t>
  </si>
  <si>
    <t>NM</t>
  </si>
  <si>
    <t>Navios Maritime Holdings Inc. Common Stock</t>
  </si>
  <si>
    <t>NM^H</t>
  </si>
  <si>
    <t>Navios Maritime Holdings Inc. Sponsored ADR Representing 1/100th Perp. Preferred Series H%</t>
  </si>
  <si>
    <t>NMCO</t>
  </si>
  <si>
    <t>Nuveen Municipal Credit Opportunities Fund Common Shares</t>
  </si>
  <si>
    <t>NMG</t>
  </si>
  <si>
    <t>Nouveau Monde Graphite Inc. Common Shares</t>
  </si>
  <si>
    <t>NMI</t>
  </si>
  <si>
    <t>Nuveen Municipal Income Fund Inc. Common Stock</t>
  </si>
  <si>
    <t>NMM</t>
  </si>
  <si>
    <t>Navios Maritime Partners LP Common Units Representing Limited Partner Interests</t>
  </si>
  <si>
    <t>NMR</t>
  </si>
  <si>
    <t>Nomura Holdings Inc ADR American Depositary Shares</t>
  </si>
  <si>
    <t>NMS</t>
  </si>
  <si>
    <t>Nuveen Minnesota Quality Municipal Income Fund</t>
  </si>
  <si>
    <t>NMT</t>
  </si>
  <si>
    <t>Nuveen Massachusetts Quality Municipal Income Fund Common Stock</t>
  </si>
  <si>
    <t>NMZ</t>
  </si>
  <si>
    <t>Nuveen Municipal High Income Opportunity Fund Common Stock $0.01 par value per share</t>
  </si>
  <si>
    <t>NNA</t>
  </si>
  <si>
    <t>Navios Maritime Acquisition Corporation Common stock</t>
  </si>
  <si>
    <t>NNI</t>
  </si>
  <si>
    <t>Nelnet Inc. Common Stock</t>
  </si>
  <si>
    <t>NNN</t>
  </si>
  <si>
    <t>National Retail Properties Common Stock</t>
  </si>
  <si>
    <t>NNN^F</t>
  </si>
  <si>
    <t>National Retail Properties Depositary Shares each representing a 1/100th interest in a share of 5.20% Series F Cumulative Redeemable Preferred Stock</t>
  </si>
  <si>
    <t>NNY</t>
  </si>
  <si>
    <t>Nuveen New York Municipal Value Fund Common Stock</t>
  </si>
  <si>
    <t>NOA</t>
  </si>
  <si>
    <t>North American Construction Group Ltd. Common Shares (no par)</t>
  </si>
  <si>
    <t>NOAH</t>
  </si>
  <si>
    <t>Noah Holdings Limited</t>
  </si>
  <si>
    <t>NOC</t>
  </si>
  <si>
    <t>Northrop Grumman Corporation Common Stock</t>
  </si>
  <si>
    <t>NOK</t>
  </si>
  <si>
    <t>Nokia Corporation Sponsored American Depositary Shares</t>
  </si>
  <si>
    <t>NOM</t>
  </si>
  <si>
    <t>Nuveen Missouri Quality Municipal Income Fund</t>
  </si>
  <si>
    <t>NOMD</t>
  </si>
  <si>
    <t>Nomad Foods Limited Ordinary Shares</t>
  </si>
  <si>
    <t>NOV</t>
  </si>
  <si>
    <t>NOV Inc. Common Stock</t>
  </si>
  <si>
    <t>NOVA</t>
  </si>
  <si>
    <t>Sunnova Energy International Inc. Common Stock</t>
  </si>
  <si>
    <t>NOW</t>
  </si>
  <si>
    <t>ServiceNow Inc. Common Stock</t>
  </si>
  <si>
    <t>NP</t>
  </si>
  <si>
    <t>Neenah Inc. Common Stock</t>
  </si>
  <si>
    <t>NPCT</t>
  </si>
  <si>
    <t>Nuveen Core Plus Impact Fund Common Shares of Beneficial Interest</t>
  </si>
  <si>
    <t>NPK</t>
  </si>
  <si>
    <t>National Presto Industries Inc. Common Stock</t>
  </si>
  <si>
    <t>NPO</t>
  </si>
  <si>
    <t>EnPro Industries Inc</t>
  </si>
  <si>
    <t>NPTN</t>
  </si>
  <si>
    <t>NeoPhotonics Corporation Common Stock</t>
  </si>
  <si>
    <t>NPV</t>
  </si>
  <si>
    <t>Nuveen Virginia Quality Municipal Income Fund Common Stock</t>
  </si>
  <si>
    <t>NQP</t>
  </si>
  <si>
    <t>Nuveen Pennsylvania Quality Municipal Income Fund Common Stock</t>
  </si>
  <si>
    <t>NR</t>
  </si>
  <si>
    <t>Newpark Resources Inc. Common Stock</t>
  </si>
  <si>
    <t>NREF</t>
  </si>
  <si>
    <t>NexPoint Real Estate Finance Inc. Common Stock</t>
  </si>
  <si>
    <t>NREF^A</t>
  </si>
  <si>
    <t>NexPoint Real Estate Finance Inc. 8.50% Series A Cumulative Redeemable Preferred Stock</t>
  </si>
  <si>
    <t>NRG</t>
  </si>
  <si>
    <t>NRG Energy Inc. Common Stock</t>
  </si>
  <si>
    <t>NRGX</t>
  </si>
  <si>
    <t>PIMCO Energy and Tactical Credit Opportunities Fund Common Shares of Beneficial Interest</t>
  </si>
  <si>
    <t>NRK</t>
  </si>
  <si>
    <t>Nuveen New York AMT-Free Quality Municipal Income Fund</t>
  </si>
  <si>
    <t>NRP</t>
  </si>
  <si>
    <t>Natural Resource Partners LP Limited Partnership</t>
  </si>
  <si>
    <t>NRT</t>
  </si>
  <si>
    <t>North European Oil Royality Trust Common Stock</t>
  </si>
  <si>
    <t>NRUC</t>
  </si>
  <si>
    <t>National Rural Utilities Cooperative Finance Corporation 5.500% Subordinated Notes due 2064 (Subordinated Deferrable Interest Notes)</t>
  </si>
  <si>
    <t>NRZ</t>
  </si>
  <si>
    <t>New Residential Investment Corp. Common Stock</t>
  </si>
  <si>
    <t>NRZ^A</t>
  </si>
  <si>
    <t>New Residential Investment Corp. 7.50% Series A Fixed-to-Floating Rate Cumulative Redeemable Preferred Stock</t>
  </si>
  <si>
    <t>NRZ^B</t>
  </si>
  <si>
    <t>New Residential Investment Corp. 7.125% Series B Fixed-to-Floating Rate Cumulative Redeemable Preferred Stock</t>
  </si>
  <si>
    <t>NRZ^C</t>
  </si>
  <si>
    <t>New Residential Investment Corp. 6.375% Series C Fixed-to-Floating Rate Cumulative Redeemable Preferred Stock</t>
  </si>
  <si>
    <t>NS</t>
  </si>
  <si>
    <t>Nustar Energy L.P.  Common Units</t>
  </si>
  <si>
    <t>NS^A</t>
  </si>
  <si>
    <t>Nustar Energy L.P. 8.50% Series A Fixed-to-Floating Rate Cumulative Redeemable Perpetual Preferred Units</t>
  </si>
  <si>
    <t>NS^B</t>
  </si>
  <si>
    <t>Nustar Energy L.P. 7.625% Series B Fixed-to-Floating Rate Cumulative Redeemable Perpetual Preferred Units representing limited partner interests</t>
  </si>
  <si>
    <t>NS^C</t>
  </si>
  <si>
    <t>Nustar Energy L.P. 9.00% Series C Fixed-to-Floating Rate Cumulative Redeemable Perpetual Preferred Units</t>
  </si>
  <si>
    <t>NSA</t>
  </si>
  <si>
    <t>National Storage Affiliates Trust Common Shares of Beneficial Interest</t>
  </si>
  <si>
    <t>NSA^A</t>
  </si>
  <si>
    <t>National Storage Affiliates Trust 6.000% Series A Cumulative Redeemable Preferred Shares of Beneficial Interest (Liquidation Preference $25.00 per share)</t>
  </si>
  <si>
    <t>NSC</t>
  </si>
  <si>
    <t>Norfolk Southern Corporation Common Stock</t>
  </si>
  <si>
    <t>NSH</t>
  </si>
  <si>
    <t>NavSight Holdings Inc. Class A Common Stock</t>
  </si>
  <si>
    <t>NSL</t>
  </si>
  <si>
    <t>Nuveen Senior Income Fund Common Stock</t>
  </si>
  <si>
    <t>NSP</t>
  </si>
  <si>
    <t>Insperity Inc. Common Stock</t>
  </si>
  <si>
    <t>NSS</t>
  </si>
  <si>
    <t>NuStar Logistics L.P. 7.625% Fixed-to-Floating Rate Subordinated Notes due 2043</t>
  </si>
  <si>
    <t>NSTB</t>
  </si>
  <si>
    <t>Northern Star Investment Corp. II Class A Common stock</t>
  </si>
  <si>
    <t>NSTC</t>
  </si>
  <si>
    <t>Northern Star Investment Corp. III Class A Common Stock</t>
  </si>
  <si>
    <t>NSTD</t>
  </si>
  <si>
    <t>Northern Star Investment Corp. IV Class A Common Stock</t>
  </si>
  <si>
    <t>NTB</t>
  </si>
  <si>
    <t>Bank of N.T. Butterfield &amp; Son Limited (The) Voting Ordinary Shares</t>
  </si>
  <si>
    <t>NTCO</t>
  </si>
  <si>
    <t>Natura &amp;Co Holding S.A. American Depositary Shares</t>
  </si>
  <si>
    <t>NTG</t>
  </si>
  <si>
    <t>Tortoise Midstream Energy Fund Inc. Common Stock</t>
  </si>
  <si>
    <t>NTP</t>
  </si>
  <si>
    <t>Nam Tai Property Inc. Common Stock</t>
  </si>
  <si>
    <t>NTR</t>
  </si>
  <si>
    <t>Nutrien Ltd. Common Shares</t>
  </si>
  <si>
    <t>NTST</t>
  </si>
  <si>
    <t>NetSTREIT Corp. Common Stock</t>
  </si>
  <si>
    <t>NTZ</t>
  </si>
  <si>
    <t>Natuzzi S.p.A.</t>
  </si>
  <si>
    <t>NUE</t>
  </si>
  <si>
    <t>Nucor Corporation Common Stock</t>
  </si>
  <si>
    <t>NUO</t>
  </si>
  <si>
    <t>Nuveen Ohio Quality Municipal Income Fund Common Stock</t>
  </si>
  <si>
    <t>NUS</t>
  </si>
  <si>
    <t>Nu Skin Enterprises Inc. Common Stock</t>
  </si>
  <si>
    <t>NUV</t>
  </si>
  <si>
    <t>Nuveen Municipal Value Fund Inc. Common Stock</t>
  </si>
  <si>
    <t>NUVB</t>
  </si>
  <si>
    <t>Nuvation Bio Inc. Class A Common Stock</t>
  </si>
  <si>
    <t>NUW</t>
  </si>
  <si>
    <t>Nuveen AMT-Free Municipal Value Fund</t>
  </si>
  <si>
    <t>NVG</t>
  </si>
  <si>
    <t>Nuveen AMT-Free Municipal Credit Income Fund</t>
  </si>
  <si>
    <t>NVGS</t>
  </si>
  <si>
    <t>Navigator Holdings Ltd. Ordinary Shares (Marshall Islands)</t>
  </si>
  <si>
    <t>NVO</t>
  </si>
  <si>
    <t>Novo Nordisk A/S Common Stock</t>
  </si>
  <si>
    <t>NVR</t>
  </si>
  <si>
    <t>NVR Inc. Common Stock</t>
  </si>
  <si>
    <t>NVRO</t>
  </si>
  <si>
    <t>Nevro Corp. Common Stock</t>
  </si>
  <si>
    <t>NVS</t>
  </si>
  <si>
    <t>Novartis AG Common Stock</t>
  </si>
  <si>
    <t>NVST</t>
  </si>
  <si>
    <t>Envista Holdings Corporation Common Stock</t>
  </si>
  <si>
    <t>NVT</t>
  </si>
  <si>
    <t>nVent Electric plc Ordinary Shares</t>
  </si>
  <si>
    <t>NVTA</t>
  </si>
  <si>
    <t>Invitae Corporation Common Stock</t>
  </si>
  <si>
    <t>NWG</t>
  </si>
  <si>
    <t>NatWest Group plc American Depositary Shares</t>
  </si>
  <si>
    <t>NWHM</t>
  </si>
  <si>
    <t>New Home Company Inc. (The) Common Stock</t>
  </si>
  <si>
    <t>NWN</t>
  </si>
  <si>
    <t>Northwest Natural Holding Company Common Stock</t>
  </si>
  <si>
    <t>NX</t>
  </si>
  <si>
    <t>Quanex Building Products Corporation Common Stock</t>
  </si>
  <si>
    <t>NXC</t>
  </si>
  <si>
    <t>Nuveen California Select Tax-Free Income Portfolio Common Stock</t>
  </si>
  <si>
    <t>NXJ</t>
  </si>
  <si>
    <t>Nuveen New Jersey Qualified Municipal Fund</t>
  </si>
  <si>
    <t>NXN</t>
  </si>
  <si>
    <t>Nuveen New York Select Tax-Free Income Portfolio Common Stock</t>
  </si>
  <si>
    <t>NXP</t>
  </si>
  <si>
    <t>Nuveen Select Tax Free Income Portfolio Common Stock</t>
  </si>
  <si>
    <t>NXQ</t>
  </si>
  <si>
    <t>Nuveen Select Tax Free Income Portfolio II Common Stock</t>
  </si>
  <si>
    <t>NXR</t>
  </si>
  <si>
    <t>Nuveen Select Tax Free Income Portfolio III Common Stock</t>
  </si>
  <si>
    <t>NXRT</t>
  </si>
  <si>
    <t>NexPoint Residential Trust Inc. Common Stock</t>
  </si>
  <si>
    <t>NXU</t>
  </si>
  <si>
    <t>Novus Capital Corporation II Class A Common Stock</t>
  </si>
  <si>
    <t>NYC</t>
  </si>
  <si>
    <t>New York City REIT Inc. Class A Common Stock</t>
  </si>
  <si>
    <t>NYCB</t>
  </si>
  <si>
    <t>New York Community Bancorp Inc. Common Stock</t>
  </si>
  <si>
    <t>NYCB^A</t>
  </si>
  <si>
    <t>New York Community Bancorp Inc. Depositary shares each representing a 1/40th interest in a share of Fixed-to-Floating Rate Series A Noncumulative Perpetual Preferred Stock</t>
  </si>
  <si>
    <t>NYCB^U</t>
  </si>
  <si>
    <t>New York Community Bancorp Inc. New York Community Capital Tr V (BONUSES)</t>
  </si>
  <si>
    <t>NYT</t>
  </si>
  <si>
    <t>New York Times Company (The) Common Stock</t>
  </si>
  <si>
    <t>NZF</t>
  </si>
  <si>
    <t>Nuveen Municipal Credit Income Fund</t>
  </si>
  <si>
    <t>O</t>
  </si>
  <si>
    <t>Realty Income Corporation Common Stock</t>
  </si>
  <si>
    <t>OACB</t>
  </si>
  <si>
    <t>Oaktree Acquisition Corp. II Class A Ordinary Shares</t>
  </si>
  <si>
    <t>OAK^A</t>
  </si>
  <si>
    <t>Oaktree Capital Group LLC 6.625% Series A Preferred units</t>
  </si>
  <si>
    <t>OAK^B</t>
  </si>
  <si>
    <t>Oaktree Capital Group LLC 6.550% Series B Preferred Units</t>
  </si>
  <si>
    <t>OC</t>
  </si>
  <si>
    <t>Owens Corning Inc Common Stock New</t>
  </si>
  <si>
    <t>OCA</t>
  </si>
  <si>
    <t>Omnichannel Acquisition Corp. Class A Common Stock</t>
  </si>
  <si>
    <t>OCFT</t>
  </si>
  <si>
    <t>OneConnect Financial Technology Co. Ltd. American Depositary Shares each representing three ordinary shares</t>
  </si>
  <si>
    <t>OCN</t>
  </si>
  <si>
    <t>Ocwen Financial Corporation NEW Common Stock</t>
  </si>
  <si>
    <t>ODC</t>
  </si>
  <si>
    <t>Oil-Dri Corporation Of America Common Stock</t>
  </si>
  <si>
    <t>OEC</t>
  </si>
  <si>
    <t>Orion Engineered Carbons S.A Common Shares</t>
  </si>
  <si>
    <t>OFC</t>
  </si>
  <si>
    <t>Corporate Office Properties Trust Common Stock</t>
  </si>
  <si>
    <t>OFG</t>
  </si>
  <si>
    <t>OFG Bancorp Common Stock</t>
  </si>
  <si>
    <t>OG</t>
  </si>
  <si>
    <t>Onion Global Limited American Depositary Shares (each ten (10) ADSs representing one (1) Class A Ordinary Share)</t>
  </si>
  <si>
    <t>OGE</t>
  </si>
  <si>
    <t>OGE Energy Corp Common Stock</t>
  </si>
  <si>
    <t>OGN</t>
  </si>
  <si>
    <t>Organon &amp; Co. Common Stock</t>
  </si>
  <si>
    <t>OGS</t>
  </si>
  <si>
    <t>ONE Gas Inc. Common Stock</t>
  </si>
  <si>
    <t>OHI</t>
  </si>
  <si>
    <t>Omega Healthcare Investors Inc. Common Stock</t>
  </si>
  <si>
    <t>OI</t>
  </si>
  <si>
    <t>O-I Glass Inc. Common Stock</t>
  </si>
  <si>
    <t>OIA</t>
  </si>
  <si>
    <t>Invesco Municipal Income Opportunities Trust Common Stock</t>
  </si>
  <si>
    <t>OII</t>
  </si>
  <si>
    <t>Oceaneering International Inc. Common Stock</t>
  </si>
  <si>
    <t>OIS</t>
  </si>
  <si>
    <t>Oil States International Inc. Common Stock</t>
  </si>
  <si>
    <t>OKE</t>
  </si>
  <si>
    <t>ONEOK Inc. Common Stock</t>
  </si>
  <si>
    <t>OLN</t>
  </si>
  <si>
    <t>Olin Corporation Common Stock</t>
  </si>
  <si>
    <t>OLO</t>
  </si>
  <si>
    <t>Olo Inc. Class A Common Stock</t>
  </si>
  <si>
    <t>OLP</t>
  </si>
  <si>
    <t>One Liberty Properties Inc. Common Stock</t>
  </si>
  <si>
    <t>OMC</t>
  </si>
  <si>
    <t>Omnicom Group Inc. Common Stock</t>
  </si>
  <si>
    <t>OMF</t>
  </si>
  <si>
    <t>OneMain Holdings Inc. Common Stock</t>
  </si>
  <si>
    <t>OMI</t>
  </si>
  <si>
    <t>Owens &amp; Minor Inc. Common Stock</t>
  </si>
  <si>
    <t>ONE</t>
  </si>
  <si>
    <t>OneSmart International Education Group Limited ADS</t>
  </si>
  <si>
    <t>ONTF</t>
  </si>
  <si>
    <t>ON24 Inc. Common Stock</t>
  </si>
  <si>
    <t>ONTO</t>
  </si>
  <si>
    <t>Onto Innovation Inc. Common Stock</t>
  </si>
  <si>
    <t>OOMA</t>
  </si>
  <si>
    <t>Ooma Inc. Common Stock</t>
  </si>
  <si>
    <t>OPA</t>
  </si>
  <si>
    <t>Magnum Opus Acquisition Limited Class A Ordinary Shares</t>
  </si>
  <si>
    <t>OPFI</t>
  </si>
  <si>
    <t>OppFi Inc. Class A Common Stock</t>
  </si>
  <si>
    <t>OPP</t>
  </si>
  <si>
    <t>RiverNorth/DoubleLine Strategic Opportunity Fund Inc. Common Stock</t>
  </si>
  <si>
    <t>OPP^A</t>
  </si>
  <si>
    <t>RiverNorth/DoubleLine Strategic Opportunity Fund Inc. 4.375% Series A Cumulative Preferred Stock</t>
  </si>
  <si>
    <t>OPY</t>
  </si>
  <si>
    <t>Oppenheimer Holdings Inc. Class A Common Stock (DE)</t>
  </si>
  <si>
    <t>OR</t>
  </si>
  <si>
    <t>Osisko Gold Royalties Ltd Common Shares</t>
  </si>
  <si>
    <t>ORA</t>
  </si>
  <si>
    <t>Ormat Technologies Inc. Common Stock</t>
  </si>
  <si>
    <t>ORAN</t>
  </si>
  <si>
    <t>Orange</t>
  </si>
  <si>
    <t>ORC</t>
  </si>
  <si>
    <t>Orchid Island Capital Inc. Common Stock</t>
  </si>
  <si>
    <t>ORCC</t>
  </si>
  <si>
    <t>Owl Rock Capital Corporation Common Stock</t>
  </si>
  <si>
    <t>ORCL</t>
  </si>
  <si>
    <t>Oracle Corporation Common Stock</t>
  </si>
  <si>
    <t>ORI</t>
  </si>
  <si>
    <t>Old Republic International Corporation Common Stock</t>
  </si>
  <si>
    <t>ORN</t>
  </si>
  <si>
    <t>Orion Group Holdings Inc. Common</t>
  </si>
  <si>
    <t>OSCR</t>
  </si>
  <si>
    <t>Oscar Health Inc. Class A Common Stock</t>
  </si>
  <si>
    <t>OSG</t>
  </si>
  <si>
    <t>Overseas Shipholding Group Inc. Class A Common Stock</t>
  </si>
  <si>
    <t>OSH</t>
  </si>
  <si>
    <t>Oak Street Health Inc. Common Stock</t>
  </si>
  <si>
    <t>OSI</t>
  </si>
  <si>
    <t>Osiris Acquisition Corp. Class A Common Stock</t>
  </si>
  <si>
    <t>OSK</t>
  </si>
  <si>
    <t>Oshkosh Corporation (Holding Company)Common Stock</t>
  </si>
  <si>
    <t>OTIS</t>
  </si>
  <si>
    <t>Otis Worldwide Corporation Common Stock</t>
  </si>
  <si>
    <t>OUST</t>
  </si>
  <si>
    <t>Ouster Inc. Common Stock</t>
  </si>
  <si>
    <t>OUT</t>
  </si>
  <si>
    <t>OUTFRONT Media Inc. Common Stock</t>
  </si>
  <si>
    <t>OVV</t>
  </si>
  <si>
    <t>Ovintiv Inc. (DE)</t>
  </si>
  <si>
    <t>OWL</t>
  </si>
  <si>
    <t>Blue Owl Capital Inc. Class A Common Stock</t>
  </si>
  <si>
    <t>OWLT</t>
  </si>
  <si>
    <t>Owlet Inc. Class A Common Stock</t>
  </si>
  <si>
    <t>OXM</t>
  </si>
  <si>
    <t>Oxford Industries Inc. Common Stock</t>
  </si>
  <si>
    <t>OXY</t>
  </si>
  <si>
    <t>Occidental Petroleum Corporation Common Stock</t>
  </si>
  <si>
    <t>PAC</t>
  </si>
  <si>
    <t>Grupo Aeroportuario Del Pacifico S.A. B. de C.V. Grupo Aeroportuario Del Pacifico S.A. de C.V. (each representing 10 Series B shares)</t>
  </si>
  <si>
    <t>PACE</t>
  </si>
  <si>
    <t>TPG Pace Tech Opportunities Corp. Class A Ordinary Shares</t>
  </si>
  <si>
    <t>PACK</t>
  </si>
  <si>
    <t>Ranpak Holdings Corp Class A Common Stock</t>
  </si>
  <si>
    <t>PAG</t>
  </si>
  <si>
    <t>Penske Automotive Group Inc. Common Stock</t>
  </si>
  <si>
    <t>PAGS</t>
  </si>
  <si>
    <t>PagSeguro Digital Ltd. Class A Common Shares</t>
  </si>
  <si>
    <t>PAI</t>
  </si>
  <si>
    <t>Western Asset Investment Grade Income Fund Inc.</t>
  </si>
  <si>
    <t>PAM</t>
  </si>
  <si>
    <t>Pampa Energia S.A. Pampa Energia S.A.</t>
  </si>
  <si>
    <t>PANW</t>
  </si>
  <si>
    <t>Palo Alto Networks Inc. Common Stock</t>
  </si>
  <si>
    <t>PAR</t>
  </si>
  <si>
    <t>PAR Technology Corporation Common Stock</t>
  </si>
  <si>
    <t>PARR</t>
  </si>
  <si>
    <t>Par Pacific Holdings Inc.  Common Stock</t>
  </si>
  <si>
    <t>PATH</t>
  </si>
  <si>
    <t>UiPath Inc. Class A Common Stock</t>
  </si>
  <si>
    <t>PAY</t>
  </si>
  <si>
    <t>Paymentus Holdings Inc. Class A Common Stock</t>
  </si>
  <si>
    <t>PAYC</t>
  </si>
  <si>
    <t>Paycom Software Inc. Common Stock</t>
  </si>
  <si>
    <t>PB</t>
  </si>
  <si>
    <t>Prosperity Bancshares Inc. Common Stock</t>
  </si>
  <si>
    <t>PBA</t>
  </si>
  <si>
    <t>Pembina Pipeline Corp. Ordinary Shares (Canada)</t>
  </si>
  <si>
    <t>PBC</t>
  </si>
  <si>
    <t>Prospect Capital Corporation 6.875% Notes due 2029</t>
  </si>
  <si>
    <t>PBF</t>
  </si>
  <si>
    <t>PBF Energy Inc. Class A Common Stock</t>
  </si>
  <si>
    <t>PBFX</t>
  </si>
  <si>
    <t>PBF Logistics LP Common Units representing limited partner interests</t>
  </si>
  <si>
    <t>PBH</t>
  </si>
  <si>
    <t>Prestige Consumer Healthcare Inc. Common Stock</t>
  </si>
  <si>
    <t>PBI</t>
  </si>
  <si>
    <t>Pitney Bowes Inc. Common Stock</t>
  </si>
  <si>
    <t>PBI^B</t>
  </si>
  <si>
    <t>Pitney Bowes Inc 6.70% Notes Due 2043</t>
  </si>
  <si>
    <t>PBR</t>
  </si>
  <si>
    <t>Petroleo Brasileiro S.A.- Petrobras Common Stock</t>
  </si>
  <si>
    <t>PBT</t>
  </si>
  <si>
    <t>Permian Basin Royalty Trust Common Stock</t>
  </si>
  <si>
    <t>PCF</t>
  </si>
  <si>
    <t>High Income Securities Fund Common Stock</t>
  </si>
  <si>
    <t>PCG</t>
  </si>
  <si>
    <t>Pacific Gas &amp; Electric Co. Common Stock</t>
  </si>
  <si>
    <t>PCGU</t>
  </si>
  <si>
    <t>Pacific Gas &amp; Electric Co. Equity Unit</t>
  </si>
  <si>
    <t>PCI</t>
  </si>
  <si>
    <t>PIMCO Dynamic Credit and Mortgage Income Fund Common Shares of Beneficial Interest</t>
  </si>
  <si>
    <t>PCK</t>
  </si>
  <si>
    <t>Pimco California Municipal Income Fund II Common Shares of Beneficial Interest</t>
  </si>
  <si>
    <t>PCM</t>
  </si>
  <si>
    <t>PCM Fund Inc. Common Stock</t>
  </si>
  <si>
    <t>PCN</t>
  </si>
  <si>
    <t>Pimco Corporate &amp; Income Strategy Fund Common Stock</t>
  </si>
  <si>
    <t>PCOR</t>
  </si>
  <si>
    <t>Procore Technologies Inc. Common Stock</t>
  </si>
  <si>
    <t>PCPC</t>
  </si>
  <si>
    <t>Periphas Capital Partnering Corporation Class A Common Stock</t>
  </si>
  <si>
    <t>PCQ</t>
  </si>
  <si>
    <t>PIMCO California Municipal Income Fund Common Stock</t>
  </si>
  <si>
    <t>PD</t>
  </si>
  <si>
    <t>PagerDuty Inc. Common Stock</t>
  </si>
  <si>
    <t>PDAC</t>
  </si>
  <si>
    <t>Peridot Acquisition Corp. Class A Ordinary Shares</t>
  </si>
  <si>
    <t>PDI</t>
  </si>
  <si>
    <t>PIMCO Dynamic Income Fund Common Stock</t>
  </si>
  <si>
    <t>PDM</t>
  </si>
  <si>
    <t>Piedmont Office Realty Trust Inc. Class A Common Stock</t>
  </si>
  <si>
    <t>PDO</t>
  </si>
  <si>
    <t>PIMCO Dynamic Income Opportunities Fund Common Shares of Beneficial Interest</t>
  </si>
  <si>
    <t>PDOT</t>
  </si>
  <si>
    <t>Peridot Acquisition Corp. II Class A Ordinary Shares</t>
  </si>
  <si>
    <t>PDS</t>
  </si>
  <si>
    <t>Precision Drilling Corporation Common Stock</t>
  </si>
  <si>
    <t>PDT</t>
  </si>
  <si>
    <t>John Hancock Premium Dividend Fund</t>
  </si>
  <si>
    <t>PEAK</t>
  </si>
  <si>
    <t>Healthpeak Properties Inc. Common Stock</t>
  </si>
  <si>
    <t>PEB</t>
  </si>
  <si>
    <t>Pebblebrook Hotel Trust Common Shares of Beneficial Interest</t>
  </si>
  <si>
    <t>PEB^C</t>
  </si>
  <si>
    <t>Pebblebrook Hotel Trust 6.50% Series C Cumulative Redeemable Preferred Shares of Beneficial Interest</t>
  </si>
  <si>
    <t>PEB^D</t>
  </si>
  <si>
    <t>Pebblebrook Hotel Trust 6.375% Series D Cumulative Redeemable Preferred Shares of Beneficial Interest</t>
  </si>
  <si>
    <t>PEB^E</t>
  </si>
  <si>
    <t>Pebblebrook Hotel Trust 6.375% Series E Cumulative Redeemable Preferred Shares of Beneficial Interest</t>
  </si>
  <si>
    <t>PEB^F</t>
  </si>
  <si>
    <t>Pebblebrook Hotel Trust 6.3% Series F Cumulative Redeemable Preferred Shares of Beneficial Interest</t>
  </si>
  <si>
    <t>PEB^G</t>
  </si>
  <si>
    <t>Pebblebrook Hotel Trust 6.375% Series G Cumulative Redeemable Preferred Shares of Beneficial Interest</t>
  </si>
  <si>
    <t>PEB^H</t>
  </si>
  <si>
    <t>Pebblebrook Hotel Trust 5.700% Series H Cumulative Redeemable Preferred Shares of Beneficial Interest</t>
  </si>
  <si>
    <t>PEG</t>
  </si>
  <si>
    <t>Public Service Enterprise Group Incorporated Common Stock</t>
  </si>
  <si>
    <t>PEI</t>
  </si>
  <si>
    <t>Pennsylvania Real Estate Investment Trust Common Stock</t>
  </si>
  <si>
    <t>PEI^B</t>
  </si>
  <si>
    <t>Pennsylvania Real Estate Investment Trust Cumulative Redeemable Perpetual Preferred Shares Series B</t>
  </si>
  <si>
    <t>PEI^C</t>
  </si>
  <si>
    <t>Pennsylvania Real Estate Investment Trust 7.20% Series C Cumulative Redeemable Perpetual Preferred Shares</t>
  </si>
  <si>
    <t>PEI^D</t>
  </si>
  <si>
    <t>Pennsylvania Real Estate Investment Trust 6.875% Series D Cumulative Redeemable Perpetual Preferred Shares</t>
  </si>
  <si>
    <t>PEN</t>
  </si>
  <si>
    <t>Penumbra Inc. Common Stock</t>
  </si>
  <si>
    <t>PEO</t>
  </si>
  <si>
    <t>Adams Natural Resources Fund Inc. Common Stock</t>
  </si>
  <si>
    <t>PFD</t>
  </si>
  <si>
    <t>Flaherty &amp; Crumrine Preferred and Income Fund Incorporated</t>
  </si>
  <si>
    <t>PFE</t>
  </si>
  <si>
    <t>Pfizer Inc. Common Stock</t>
  </si>
  <si>
    <t>PFGC</t>
  </si>
  <si>
    <t>Performance Food Group Company Common Stock</t>
  </si>
  <si>
    <t>PFH</t>
  </si>
  <si>
    <t>Prudential Financial Inc. 4.125% Junior Subordinated Notes due 2060</t>
  </si>
  <si>
    <t>PFL</t>
  </si>
  <si>
    <t>PIMCO Income Strategy Fund Shares of Beneficial Interest</t>
  </si>
  <si>
    <t>PFN</t>
  </si>
  <si>
    <t>PIMCO Income Strategy Fund II</t>
  </si>
  <si>
    <t>PFO</t>
  </si>
  <si>
    <t>Flaherty &amp; Crumrine Preferred and Income Opportunity Fund Incorporated</t>
  </si>
  <si>
    <t>PFS</t>
  </si>
  <si>
    <t>Provident Financial Services Inc Common Stock</t>
  </si>
  <si>
    <t>PFSI</t>
  </si>
  <si>
    <t>PennyMac Financial Services Inc. Common Stock</t>
  </si>
  <si>
    <t>PG</t>
  </si>
  <si>
    <t>Procter &amp; Gamble Company (The) Common Stock</t>
  </si>
  <si>
    <t>PGP</t>
  </si>
  <si>
    <t>Pimco Global Stocksplus &amp; Income Fund Pimco Global StocksPlus &amp; Income Fund Common Shares of Beneficial Interest</t>
  </si>
  <si>
    <t>PGR</t>
  </si>
  <si>
    <t>Progressive Corporation (The) Common Stock</t>
  </si>
  <si>
    <t>PGRE</t>
  </si>
  <si>
    <t>Paramount Group Inc. Common Stock</t>
  </si>
  <si>
    <t>PGTI</t>
  </si>
  <si>
    <t>PGT Innovations Inc.</t>
  </si>
  <si>
    <t>PGZ</t>
  </si>
  <si>
    <t>Principal Real Estate Income Fund Common Shares of Beneficial Interest</t>
  </si>
  <si>
    <t>PH</t>
  </si>
  <si>
    <t>Parker-Hannifin Corporation Common Stock</t>
  </si>
  <si>
    <t>PHD</t>
  </si>
  <si>
    <t>Pioneer Floating Rate Fund Inc.</t>
  </si>
  <si>
    <t>PHG</t>
  </si>
  <si>
    <t>Koninklijke Philips N.V. NY Registry Shares</t>
  </si>
  <si>
    <t>PHI</t>
  </si>
  <si>
    <t>PLDT Inc. Sponsored ADR</t>
  </si>
  <si>
    <t>PHK</t>
  </si>
  <si>
    <t>Pimco High Income Fund Pimco High Income Fund</t>
  </si>
  <si>
    <t>PHM</t>
  </si>
  <si>
    <t>PulteGroup Inc. Common Stock</t>
  </si>
  <si>
    <t>PHR</t>
  </si>
  <si>
    <t>Phreesia Inc. Common Stock</t>
  </si>
  <si>
    <t>PHT</t>
  </si>
  <si>
    <t>Pioneer High Income Fund Inc.</t>
  </si>
  <si>
    <t>PHX</t>
  </si>
  <si>
    <t>PHX Minerals Inc. Common Stock</t>
  </si>
  <si>
    <t>PIAI</t>
  </si>
  <si>
    <t>Prime Impact Acquisition I Class A Ordinary Shares</t>
  </si>
  <si>
    <t>PII</t>
  </si>
  <si>
    <t>Polaris Inc. Common Stock</t>
  </si>
  <si>
    <t>PIM</t>
  </si>
  <si>
    <t>Putnam Master Intermediate Income Trust Common Stock</t>
  </si>
  <si>
    <t>PINE</t>
  </si>
  <si>
    <t>Alpine Income Property Trust Inc. Common Stock</t>
  </si>
  <si>
    <t>PING</t>
  </si>
  <si>
    <t>Ping Identity Holding Corp. Common Stock</t>
  </si>
  <si>
    <t>PINS</t>
  </si>
  <si>
    <t>Pinterest Inc. Class A Common Stock</t>
  </si>
  <si>
    <t>PIPP</t>
  </si>
  <si>
    <t>Pine Island Acquisition Corp. Class A Common Stock</t>
  </si>
  <si>
    <t>PIPR</t>
  </si>
  <si>
    <t>Piper Sandler Companies Common Stock</t>
  </si>
  <si>
    <t>PJT</t>
  </si>
  <si>
    <t>PJT Partners Inc. Class A Common Stock</t>
  </si>
  <si>
    <t>PK</t>
  </si>
  <si>
    <t>Park Hotels &amp; Resorts Inc. Common Stock</t>
  </si>
  <si>
    <t>PKE</t>
  </si>
  <si>
    <t>Park Aerospace Corp. Common Stock</t>
  </si>
  <si>
    <t>PKG</t>
  </si>
  <si>
    <t>Packaging Corporation of America Common Stock</t>
  </si>
  <si>
    <t>PKI</t>
  </si>
  <si>
    <t>PerkinElmer Inc. Common Stock</t>
  </si>
  <si>
    <t>PKO</t>
  </si>
  <si>
    <t>Pimco Income Opportunity Fund Common Shares of Beneficial Interest</t>
  </si>
  <si>
    <t>PKX</t>
  </si>
  <si>
    <t>POSCO Common Stock</t>
  </si>
  <si>
    <t>PLAN</t>
  </si>
  <si>
    <t>Anaplan Inc. Common Stock</t>
  </si>
  <si>
    <t>PLD</t>
  </si>
  <si>
    <t>Prologis Inc. Common Stock</t>
  </si>
  <si>
    <t>PLNT</t>
  </si>
  <si>
    <t>Planet Fitness Inc. Common Stock</t>
  </si>
  <si>
    <t>PLOW</t>
  </si>
  <si>
    <t>Douglas Dynamics Inc. Common Stock</t>
  </si>
  <si>
    <t>PLTR</t>
  </si>
  <si>
    <t>Palantir Technologies Inc. Class A Common Stock</t>
  </si>
  <si>
    <t>PLYM</t>
  </si>
  <si>
    <t>Plymouth Industrial REIT Inc. Common Stock</t>
  </si>
  <si>
    <t>PM</t>
  </si>
  <si>
    <t>Philip Morris International Inc Common Stock</t>
  </si>
  <si>
    <t>PMF</t>
  </si>
  <si>
    <t>PIMCO Municipal Income Fund Common Stock</t>
  </si>
  <si>
    <t>PML</t>
  </si>
  <si>
    <t>Pimco Municipal Income Fund II Common Shares of Beneficial Interest</t>
  </si>
  <si>
    <t>PMM</t>
  </si>
  <si>
    <t>Putnam Managed Municipal Income Trust Common Stock</t>
  </si>
  <si>
    <t>PMO</t>
  </si>
  <si>
    <t>Putnam Municipal Opportunities Trust Common Stock</t>
  </si>
  <si>
    <t>PMT</t>
  </si>
  <si>
    <t>PennyMac Mortgage Investment Trust Common Shares of Beneficial Interest</t>
  </si>
  <si>
    <t>PMT^A</t>
  </si>
  <si>
    <t>PennyMac Mortgage Investment Trust 8.125% Series A Fixed-to-Floating Rate Cumulative Redeemable Preferred Shares of Beneficial Interest</t>
  </si>
  <si>
    <t>PMT^B</t>
  </si>
  <si>
    <t>PennyMac Mortgage Investment Trust 8.00% Series B Fixed-to-Floating Rate Cumulative Redeemable Preferred Shares of Beneficial Interest</t>
  </si>
  <si>
    <t>PMVC</t>
  </si>
  <si>
    <t>PMV Consumer Acquisition Corp. Class A Common Stock</t>
  </si>
  <si>
    <t>PMX</t>
  </si>
  <si>
    <t>PIMCO Municipal Income Fund III Common Shares of Beneficial Interest</t>
  </si>
  <si>
    <t>PNC</t>
  </si>
  <si>
    <t>PNC Financial Services Group Inc. (The) Common Stock</t>
  </si>
  <si>
    <t>PNC^P</t>
  </si>
  <si>
    <t>PNC Financial Services Group Inc. (The) Depositary Shares Representing 1/4000th Perpetual Preferred Series P</t>
  </si>
  <si>
    <t>PNF</t>
  </si>
  <si>
    <t>PIMCO New York Municipal Income Fund Common Stock</t>
  </si>
  <si>
    <t>PNI</t>
  </si>
  <si>
    <t>Pimco New York Municipal Income Fund II Common Shares of Beneficial Interest</t>
  </si>
  <si>
    <t>PNM</t>
  </si>
  <si>
    <t>PNM Resources Inc. (Holding Co.) Common Stock</t>
  </si>
  <si>
    <t>PNR</t>
  </si>
  <si>
    <t>Pentair plc. Ordinary Share</t>
  </si>
  <si>
    <t>PNTM</t>
  </si>
  <si>
    <t>Pontem Corporation Class A Ordinary Shares</t>
  </si>
  <si>
    <t>PNW</t>
  </si>
  <si>
    <t>Pinnacle West Capital Corporation Common Stock</t>
  </si>
  <si>
    <t>POLY</t>
  </si>
  <si>
    <t>Plantronics Inc. Common Stock</t>
  </si>
  <si>
    <t>POND</t>
  </si>
  <si>
    <t>Angel Pond Holdings Corporation Class A Ordinary Shares</t>
  </si>
  <si>
    <t>POR</t>
  </si>
  <si>
    <t>Portland General Electric Co Common Stock</t>
  </si>
  <si>
    <t>POST</t>
  </si>
  <si>
    <t>Post Holdings Inc. Common Stock</t>
  </si>
  <si>
    <t>PPG</t>
  </si>
  <si>
    <t>PPG Industries Inc. Common Stock</t>
  </si>
  <si>
    <t>PPL</t>
  </si>
  <si>
    <t>PPL Corporation Common Stock</t>
  </si>
  <si>
    <t>PPT</t>
  </si>
  <si>
    <t>Putnam Premier Income Trust Common Stock</t>
  </si>
  <si>
    <t>PRA</t>
  </si>
  <si>
    <t>ProAssurance Corporation Common Stock</t>
  </si>
  <si>
    <t>PRE^J</t>
  </si>
  <si>
    <t>PartnerRe Ltd. 4.875% Fixed Rate Non-Cumulative Redeemable Preferred Shares Series J</t>
  </si>
  <si>
    <t>PRG</t>
  </si>
  <si>
    <t>PROG Holdings Inc. Common Stock</t>
  </si>
  <si>
    <t>PRGO</t>
  </si>
  <si>
    <t>Perrigo Company plc Ordinary Shares</t>
  </si>
  <si>
    <t>PRI</t>
  </si>
  <si>
    <t>Primerica Inc. Common Stock</t>
  </si>
  <si>
    <t>PRIF^A</t>
  </si>
  <si>
    <t>Priority Income Fund Inc. 6.375% Series A Term Preferred Stock due 2025</t>
  </si>
  <si>
    <t>PRIF^E</t>
  </si>
  <si>
    <t>Priority Income Fund Inc. 6.375% Series E Preferred Stock Due 2024</t>
  </si>
  <si>
    <t>PRIF^F</t>
  </si>
  <si>
    <t>Priority Income Fund Inc. 6.625% Series F Term Preferred Stock due 2027</t>
  </si>
  <si>
    <t>PRIF^G</t>
  </si>
  <si>
    <t>Priority Income Fund Inc. 6.25% Series G Preferred Stock Due 2026</t>
  </si>
  <si>
    <t>PRIF^H</t>
  </si>
  <si>
    <t>Priority Income Fund Inc. 6.00% Series H Term Preferred Stock due 2026</t>
  </si>
  <si>
    <t>PRIF^I</t>
  </si>
  <si>
    <t>Priority Income Fund Inc. 6.125% Series I Term Preferred Stock due 2028</t>
  </si>
  <si>
    <t>PRLB</t>
  </si>
  <si>
    <t>Proto Labs Inc. Common stock</t>
  </si>
  <si>
    <t>PRMW</t>
  </si>
  <si>
    <t>Primo Water Corporation Common Stock</t>
  </si>
  <si>
    <t>PRO</t>
  </si>
  <si>
    <t>PROS Holdings Inc. Common Stock</t>
  </si>
  <si>
    <t>PRPB</t>
  </si>
  <si>
    <t>CC Neuberger Principal Holdings II Class A Ordinary Shares</t>
  </si>
  <si>
    <t>PRS</t>
  </si>
  <si>
    <t>Prudential Financial Inc. 5.625% Junior Subordinated Notes due 2058</t>
  </si>
  <si>
    <t>PRT</t>
  </si>
  <si>
    <t>PermRock Royalty Trust Trust Units</t>
  </si>
  <si>
    <t>PRTY</t>
  </si>
  <si>
    <t>Party City Holdco Inc. Common Stock</t>
  </si>
  <si>
    <t>PRU</t>
  </si>
  <si>
    <t>Prudential Financial Inc. Common Stock</t>
  </si>
  <si>
    <t>PSA</t>
  </si>
  <si>
    <t>Public Storage Common Stock</t>
  </si>
  <si>
    <t>PSA^E</t>
  </si>
  <si>
    <t>Public Storage Depositary Shares Each Representing 1/1000 of a 4.90% Cumulative Preferred Share of Beneficial Interest Series E</t>
  </si>
  <si>
    <t>PSA^F</t>
  </si>
  <si>
    <t>Public Storage Depositary Shares Each Representing 1/1000 of a 5.15% Cumulative Preferred Share of Beneficial Interest Series F par value $0.01 per share</t>
  </si>
  <si>
    <t>PSA^G</t>
  </si>
  <si>
    <t>Public Storage Depositary Shares Each Representing 1/1000 of a 5.05% Cumulative Preferred Share of Beneficial Interest Series G</t>
  </si>
  <si>
    <t>PSA^H</t>
  </si>
  <si>
    <t>Public Storage Depositary Shares Each Representing 1/1000 of a  5.60% Cumulative Preferred  Share of Beneficial Interest Series H</t>
  </si>
  <si>
    <t>PSA^I</t>
  </si>
  <si>
    <t>Public Storage Depositary Shares Each Representing 1/1000 of a 4.875% Cumulative Preferred Share of Beneficial Interest Series I par value $0.01 per share</t>
  </si>
  <si>
    <t>PSA^J</t>
  </si>
  <si>
    <t>Public Storage Depositary Shares Each Representing 1/1000 of a 4.700% Cumulative Preferred Share of Beneficial Interest Series J par value $0.01 per share</t>
  </si>
  <si>
    <t>PSA^K</t>
  </si>
  <si>
    <t>Public Storage Depositary Shares Each Representing 1/1000 of a 4.75% Cumulative Preferred Share of Beneficial Interest Series K</t>
  </si>
  <si>
    <t>PSA^L</t>
  </si>
  <si>
    <t>Public Storage Depositary Shares Each Representing 1/1000 of a 4.625% Cumulative Preferred Share of Beneficial Interest Series L par value $0.01 per share</t>
  </si>
  <si>
    <t>PSA^M</t>
  </si>
  <si>
    <t>Public Storage Depositary Shares Each Representing 1/1000 of a 4.125% Cumulative Preferred Share of Beneficial Interest Series M</t>
  </si>
  <si>
    <t>PSA^N</t>
  </si>
  <si>
    <t>Public Storage Depositary Shares Each Representing 1/1000 of a 3.875% Cumulative Preferred Share of Beneficial Interest Series N</t>
  </si>
  <si>
    <t>PSA^O</t>
  </si>
  <si>
    <t>Public Storage Depositary Shares Each Representing 1/1000 of a 3.900% Cumulative Preferred Share of Beneficial Interest Series O</t>
  </si>
  <si>
    <t>PSA^P</t>
  </si>
  <si>
    <t>Public Storage Depositary Shares Each Representing 1/1000 of a 4.000% Cumulative Preferred Share of Bene cial Interest Series P</t>
  </si>
  <si>
    <t>PSB</t>
  </si>
  <si>
    <t>PS Business Parks Inc. (MD) Common Stock</t>
  </si>
  <si>
    <t>PSB^W</t>
  </si>
  <si>
    <t>PS Business Parks Inc. Depositary Shares Each Representing 1/1000 of a Share of 5.20% Cumulative Preferred Stock Series W</t>
  </si>
  <si>
    <t>PSB^X</t>
  </si>
  <si>
    <t>PS Business Parks Inc. Depositary Shares Each Representing 1/1000 of a Share of 5.25% Cumulative Preferred Stock Series X</t>
  </si>
  <si>
    <t>PSB^Y</t>
  </si>
  <si>
    <t>PS Business Parks Inc. 5.20% Cumulative Preferred Stock Series Y</t>
  </si>
  <si>
    <t>PSB^Z</t>
  </si>
  <si>
    <t>PS Business Parks Inc. Depositary Shares Each Representing 1/1000 of a Share of 4.875% Cumulative Preferred Stock Series Z  par value $0.01 per share</t>
  </si>
  <si>
    <t>PSEC^A</t>
  </si>
  <si>
    <t>Prospect Capital Corporation 5.35% Series A Fixed Rate Cumulative Perpetual Preferred Stock</t>
  </si>
  <si>
    <t>PSF</t>
  </si>
  <si>
    <t>Cohen &amp; Steers Select Preferred and Income Fund Inc. Common Stock</t>
  </si>
  <si>
    <t>PSFE</t>
  </si>
  <si>
    <t>Paysafe Limited Common Shares</t>
  </si>
  <si>
    <t>PSN</t>
  </si>
  <si>
    <t>Parsons Corporation Common Stock</t>
  </si>
  <si>
    <t>PSO</t>
  </si>
  <si>
    <t>Pearson Plc Common Stock</t>
  </si>
  <si>
    <t>PSPC</t>
  </si>
  <si>
    <t>Post Holdings Partnering Corporation Series A Common Stock</t>
  </si>
  <si>
    <t>PSTG</t>
  </si>
  <si>
    <t>Pure Storage Inc. Class A Common Stock</t>
  </si>
  <si>
    <t>PSTH</t>
  </si>
  <si>
    <t>Pershing Square Tontine Holdings Ltd. Class A Common Stock</t>
  </si>
  <si>
    <t>PSTL</t>
  </si>
  <si>
    <t>Postal Realty Trust Inc. Class A Common Stock</t>
  </si>
  <si>
    <t>PSX</t>
  </si>
  <si>
    <t>Phillips 66 Common Stock</t>
  </si>
  <si>
    <t>PSXP</t>
  </si>
  <si>
    <t>Phillips 66 Partners LP Common Units representing limited partner interest in the Partnership</t>
  </si>
  <si>
    <t>PTA</t>
  </si>
  <si>
    <t>Cohen &amp; Steers Tax-Advantaged Preferred Securities and Income Fund Common Shares of Beneficial Interest</t>
  </si>
  <si>
    <t>PTR</t>
  </si>
  <si>
    <t>PetroChina Company Limited Common Stock</t>
  </si>
  <si>
    <t>PTY</t>
  </si>
  <si>
    <t>Pimco Corporate &amp; Income Opportunity Fund</t>
  </si>
  <si>
    <t>PUK</t>
  </si>
  <si>
    <t>Prudential Public Limited Company Common Stock</t>
  </si>
  <si>
    <t>PUK^</t>
  </si>
  <si>
    <t>Prudential Public Limited Company 6.75% Perpetual Subordinated Captial Security</t>
  </si>
  <si>
    <t>PUK^A</t>
  </si>
  <si>
    <t>Prudential Public Limited Company 6.50% Perpetual Subordinated Capital Securities Exchangeable at the Issuer's Option Into Non-Cumulative Dollar Denominated Preference Shares</t>
  </si>
  <si>
    <t>PUMP</t>
  </si>
  <si>
    <t>ProPetro Holding Corp. Common Stock</t>
  </si>
  <si>
    <t>PV</t>
  </si>
  <si>
    <t>Primavera Capital Acquisition Corporation Class A Ordinary Shares</t>
  </si>
  <si>
    <t>PVG</t>
  </si>
  <si>
    <t>Pretium Resources Inc. Ordinary Shares (Canada)</t>
  </si>
  <si>
    <t>PVH</t>
  </si>
  <si>
    <t>PVH Corp. Common Stock</t>
  </si>
  <si>
    <t>PVL</t>
  </si>
  <si>
    <t>Permianville Royalty Trust Trust Units</t>
  </si>
  <si>
    <t>PWR</t>
  </si>
  <si>
    <t>Quanta Services Inc. Common Stock</t>
  </si>
  <si>
    <t>PWSC</t>
  </si>
  <si>
    <t>PowerSchool Holdings Inc. Class A Common Stock</t>
  </si>
  <si>
    <t>PXD</t>
  </si>
  <si>
    <t>Pioneer Natural Resources Company Common Stock</t>
  </si>
  <si>
    <t>PYN</t>
  </si>
  <si>
    <t>PIMCO New York Municipal Income Fund III Common Shares of Beneficial Interest</t>
  </si>
  <si>
    <t>PYS</t>
  </si>
  <si>
    <t>Merrill Lynch Depositor Inc PPlus Tr Ser RRD-1 Tr Ctf Cl A</t>
  </si>
  <si>
    <t>PZC</t>
  </si>
  <si>
    <t>PIMCO California Municipal Income Fund III Common Shares of Beneficial Interest</t>
  </si>
  <si>
    <t>PZN</t>
  </si>
  <si>
    <t>Pzena Investment Management Inc Class A Common Stock</t>
  </si>
  <si>
    <t>QD</t>
  </si>
  <si>
    <t>Qudian Inc. American Depositary Shares each representing one Class A Ordinary Share</t>
  </si>
  <si>
    <t>QFTA</t>
  </si>
  <si>
    <t>Quantum FinTech Acquisition Corporation Common Stock</t>
  </si>
  <si>
    <t>QGEN</t>
  </si>
  <si>
    <t>Qiagen N.V. Common Shares</t>
  </si>
  <si>
    <t>QS</t>
  </si>
  <si>
    <t>QuantumScape Corporation Class A Common Stock</t>
  </si>
  <si>
    <t>QSR</t>
  </si>
  <si>
    <t>Restaurant Brands International Inc. Common Shares</t>
  </si>
  <si>
    <t>QTS</t>
  </si>
  <si>
    <t>QTS Realty Trust Inc. Class A Common Stock</t>
  </si>
  <si>
    <t>QTS^A</t>
  </si>
  <si>
    <t>QTS Realty Trust Inc. 7.125% Series A Cumulative Redeemable Perpetual Preferred Stock</t>
  </si>
  <si>
    <t>QTS^B</t>
  </si>
  <si>
    <t>QTS Realty Trust Inc. 6.50% Series B Cumulative Convertible Perpetual Preferred Stock</t>
  </si>
  <si>
    <t>QTWO</t>
  </si>
  <si>
    <t>Q2 Holdings Inc. Common Stock</t>
  </si>
  <si>
    <t>QUAD</t>
  </si>
  <si>
    <t>Quad Graphics Inc Class A Common Stock</t>
  </si>
  <si>
    <t>QUOT</t>
  </si>
  <si>
    <t>Quotient Technology Inc. Common Stock</t>
  </si>
  <si>
    <t>QVCC</t>
  </si>
  <si>
    <t>QVC Inc. 6.250% Senior Secured Notes due 2068</t>
  </si>
  <si>
    <t>QVCD</t>
  </si>
  <si>
    <t>QVC Inc. 6.375% Senior Secured Notes due 2067</t>
  </si>
  <si>
    <t>R</t>
  </si>
  <si>
    <t>Ryder System Inc. Common Stock</t>
  </si>
  <si>
    <t>RA</t>
  </si>
  <si>
    <t>Brookfield Real Assets Income Fund Inc. Common Stock</t>
  </si>
  <si>
    <t>RAAS</t>
  </si>
  <si>
    <t>Cloopen Group Holding Limited American Depositary Shares each representing two Class A Ordinary Shares</t>
  </si>
  <si>
    <t>RACE</t>
  </si>
  <si>
    <t>Ferrari N.V. Common Shares</t>
  </si>
  <si>
    <t>RAD</t>
  </si>
  <si>
    <t>Rite Aid Corporation Common Stock</t>
  </si>
  <si>
    <t>RAMP</t>
  </si>
  <si>
    <t>LiveRamp Holdings Inc. Common Stock</t>
  </si>
  <si>
    <t>RBA</t>
  </si>
  <si>
    <t>Ritchie Bros. Auctioneers Incorporated Common Stock</t>
  </si>
  <si>
    <t>RBAC</t>
  </si>
  <si>
    <t>RedBall Acquisition Corp. Class A Ordinary Shares</t>
  </si>
  <si>
    <t>RBC</t>
  </si>
  <si>
    <t>Regal Beloit Corporation Common Stock</t>
  </si>
  <si>
    <t>RBLX</t>
  </si>
  <si>
    <t>Roblox Corporation Class A Common Stock</t>
  </si>
  <si>
    <t>RC</t>
  </si>
  <si>
    <t>Ready Capital Corproation Common Stock</t>
  </si>
  <si>
    <t>RC^C</t>
  </si>
  <si>
    <t>Ready Capital Corporation 6.25% Series C Cumulative Convertible Preferred Stock</t>
  </si>
  <si>
    <t>RC^E</t>
  </si>
  <si>
    <t>Ready Capital Corporation 6.50% Series E Cumulative Redeemable Preferred Stock</t>
  </si>
  <si>
    <t>RCA</t>
  </si>
  <si>
    <t>Ready Capital Corporation 7.00% Convertible Senior Notes due 2023</t>
  </si>
  <si>
    <t>RCB</t>
  </si>
  <si>
    <t>Ready Capital Corporation 6.20% Senior Notes due 2026</t>
  </si>
  <si>
    <t>RCC</t>
  </si>
  <si>
    <t>Ready Capital Corporation 5.75% Senior Notes due 2026</t>
  </si>
  <si>
    <t>RCI</t>
  </si>
  <si>
    <t>Rogers Communication Inc. Common Stock</t>
  </si>
  <si>
    <t>RCL</t>
  </si>
  <si>
    <t>D/B/A Royal Caribbean Cruises Ltd. Common Stock</t>
  </si>
  <si>
    <t>RCS</t>
  </si>
  <si>
    <t>PIMCO Strategic Income Fund Inc.</t>
  </si>
  <si>
    <t>RCUS</t>
  </si>
  <si>
    <t>Arcus Biosciences Inc. Common Stock</t>
  </si>
  <si>
    <t>RDN</t>
  </si>
  <si>
    <t>Radian Group Inc. Common Stock</t>
  </si>
  <si>
    <t>RDS/B</t>
  </si>
  <si>
    <t>Royal Dutch Shell PLC</t>
  </si>
  <si>
    <t>RDY</t>
  </si>
  <si>
    <t>Dr. Reddy's Laboratories Ltd Common Stock</t>
  </si>
  <si>
    <t>RE</t>
  </si>
  <si>
    <t>Everest Re Group Ltd. Common Stock</t>
  </si>
  <si>
    <t>RELX</t>
  </si>
  <si>
    <t>RELX PLC PLC American Depositary Shares (Each representing One Ordinary Share)</t>
  </si>
  <si>
    <t>RENN</t>
  </si>
  <si>
    <t>Renren Inc. American Depositary Shares each representing fifteen Class A ordinary shares</t>
  </si>
  <si>
    <t>RERE</t>
  </si>
  <si>
    <t>AiHuiShou International Co. Ltd. American Depositary Shares (every three of which representing two Class A ordinary shares)</t>
  </si>
  <si>
    <t>RES</t>
  </si>
  <si>
    <t>RPC Inc. Common Stock</t>
  </si>
  <si>
    <t>REV</t>
  </si>
  <si>
    <t>Revlon Inc. New Common Stock</t>
  </si>
  <si>
    <t>REVG</t>
  </si>
  <si>
    <t>REV Group Inc. Common Stock</t>
  </si>
  <si>
    <t>REX</t>
  </si>
  <si>
    <t>REX American Resources Corporation</t>
  </si>
  <si>
    <t>REXR</t>
  </si>
  <si>
    <t>Rexford Industrial Realty Inc. Common Stock</t>
  </si>
  <si>
    <t>REXR^A</t>
  </si>
  <si>
    <t>Rexford Industrial Realty Inc. 5.875% Series A Cumulative Redeemable Preferred Stock</t>
  </si>
  <si>
    <t>REXR^C</t>
  </si>
  <si>
    <t>Rexford Industrial Realty Inc. 5.625% Series C Cumulative Redeemable Preferred Stock par value $0.01 per share</t>
  </si>
  <si>
    <t>REZI</t>
  </si>
  <si>
    <t>Resideo Technologies Inc. Common Stock</t>
  </si>
  <si>
    <t>RF</t>
  </si>
  <si>
    <t>Regions Financial Corporation Common Stock</t>
  </si>
  <si>
    <t>RF^B</t>
  </si>
  <si>
    <t>Regions Financial Corporation Depositary Shares Representing 1/40th Perpetual Preferred Series B</t>
  </si>
  <si>
    <t>RF^C</t>
  </si>
  <si>
    <t>Regions Financial Corporation Depositary Shares each Representing a 1/40th Interest in a  Share of 5.700% Fixed-to-Floating Rate Non-Cumulative  Perpetual Preferred Stock Series C</t>
  </si>
  <si>
    <t>RF^E</t>
  </si>
  <si>
    <t>Regions Financial Corporation Depositary Shares Each Representing a 1/40th Interest in a Share of 4.45% Non-Cumulative Perpetual Preferred Stock Series E</t>
  </si>
  <si>
    <t>RFI</t>
  </si>
  <si>
    <t>Cohen &amp; Steers Total Return Realty Fund Inc. Common Stock</t>
  </si>
  <si>
    <t>RFL</t>
  </si>
  <si>
    <t>Rafael Holdings Inc. Class B Common Stock</t>
  </si>
  <si>
    <t>RFM</t>
  </si>
  <si>
    <t>RiverNorth Flexible Municipal Income Fund Inc. Common Stock</t>
  </si>
  <si>
    <t>RFMZ</t>
  </si>
  <si>
    <t>RiverNorth Flexible Municipal Income Fund II Inc. Common Stock</t>
  </si>
  <si>
    <t>RFP</t>
  </si>
  <si>
    <t>Resolute Forest Products Inc. Common Stock</t>
  </si>
  <si>
    <t>RGA</t>
  </si>
  <si>
    <t>Reinsurance Group of America Incorporated Common Stock</t>
  </si>
  <si>
    <t>RGR</t>
  </si>
  <si>
    <t>Sturm Ruger &amp; Company Inc. Common Stock</t>
  </si>
  <si>
    <t>RGS</t>
  </si>
  <si>
    <t>Regis Corporation Common Stock</t>
  </si>
  <si>
    <t>RGT</t>
  </si>
  <si>
    <t>Royce Global Value Trust Inc. Common Stock</t>
  </si>
  <si>
    <t>RH</t>
  </si>
  <si>
    <t>RH Common Stock</t>
  </si>
  <si>
    <t>RHI</t>
  </si>
  <si>
    <t>Robert Half International Inc. Common Stock</t>
  </si>
  <si>
    <t>RHP</t>
  </si>
  <si>
    <t>Ryman Hospitality Properties Inc. (REIT)</t>
  </si>
  <si>
    <t>RICE</t>
  </si>
  <si>
    <t>Rice Acquisition Corp. Class A Common Stock</t>
  </si>
  <si>
    <t>RIG</t>
  </si>
  <si>
    <t>Transocean Ltd (Switzerland) Common Stock</t>
  </si>
  <si>
    <t>RIO</t>
  </si>
  <si>
    <t>Rio Tinto Plc Common Stock</t>
  </si>
  <si>
    <t>RIV</t>
  </si>
  <si>
    <t>RiverNorth Opportunities Fund Inc. Common Stock</t>
  </si>
  <si>
    <t>RJF</t>
  </si>
  <si>
    <t>Raymond James Financial Inc. Common Stock</t>
  </si>
  <si>
    <t>RKT</t>
  </si>
  <si>
    <t>Rocket Companies Inc. Class A Common Stock</t>
  </si>
  <si>
    <t>RKTA</t>
  </si>
  <si>
    <t>Rocket Internet Growth Opportunities Corp. Class A Ordinary Shares</t>
  </si>
  <si>
    <t>RL</t>
  </si>
  <si>
    <t>Ralph Lauren Corporation Common Stock</t>
  </si>
  <si>
    <t>RLGY</t>
  </si>
  <si>
    <t>Realogy Holdings Corp. Common Stock</t>
  </si>
  <si>
    <t>RLI</t>
  </si>
  <si>
    <t>RLI Corp. Common Stock (DE)</t>
  </si>
  <si>
    <t>RLJ</t>
  </si>
  <si>
    <t>RLJ Lodging Trust Common Shares of Beneficial Interest $0.01 par value</t>
  </si>
  <si>
    <t>RLJ^A</t>
  </si>
  <si>
    <t>RLJ Lodging Trust $1.95 Series A Cumulative Convertible  Preferred Shares</t>
  </si>
  <si>
    <t>RLX</t>
  </si>
  <si>
    <t>RLX Technology Inc. American Depositary Shares each representing the right to receive one (1) Class A ordinary share</t>
  </si>
  <si>
    <t>RM</t>
  </si>
  <si>
    <t>Regional Management Corp. Common Stock</t>
  </si>
  <si>
    <t>RMAX</t>
  </si>
  <si>
    <t>RE/MAX Holdings Inc. Class A Common Stock</t>
  </si>
  <si>
    <t>RMD</t>
  </si>
  <si>
    <t>ResMed Inc. Common Stock</t>
  </si>
  <si>
    <t>RMI</t>
  </si>
  <si>
    <t>RiverNorth Opportunistic Municipal Income Fund Inc. Common Stock</t>
  </si>
  <si>
    <t>RMM</t>
  </si>
  <si>
    <t>RiverNorth Managed Duration Municipal Income Fund Inc. Common Stock</t>
  </si>
  <si>
    <t>RMO</t>
  </si>
  <si>
    <t>Romeo Power Inc. Class A Common Stock</t>
  </si>
  <si>
    <t>RMPL^</t>
  </si>
  <si>
    <t>RiverNorth Specialty Finance Corporation 5.875%</t>
  </si>
  <si>
    <t>RMT</t>
  </si>
  <si>
    <t>Royce Micro-Cap Trust Inc. Common Stock</t>
  </si>
  <si>
    <t>RNG</t>
  </si>
  <si>
    <t>RingCentral Inc. Class A Common Stock</t>
  </si>
  <si>
    <t>RNGR</t>
  </si>
  <si>
    <t>Ranger Energy Services Inc. Class A Common Stock</t>
  </si>
  <si>
    <t>RNP</t>
  </si>
  <si>
    <t>Cohen &amp; Steers REIT and Preferred and Income Fund Inc. Common Shares</t>
  </si>
  <si>
    <t>RNR</t>
  </si>
  <si>
    <t>RenaissanceRe Holdings Ltd. Common Stock</t>
  </si>
  <si>
    <t>RNR^E</t>
  </si>
  <si>
    <t>RenaissanceRe Holdings Ltd. 5.375% Series E Preference Shares</t>
  </si>
  <si>
    <t>RNR^F</t>
  </si>
  <si>
    <t>RenaissanceRe Holdings Ltd. Depositary Shares each Representing a 1/1000th Interest in a 5.750% Series F Preference Share</t>
  </si>
  <si>
    <t>RNR^G</t>
  </si>
  <si>
    <t>RenaissanceRe Holdings Ltd. Depositary Shares each representing a 1/1000th interest in a share of 4.20% Series G Preference Shares</t>
  </si>
  <si>
    <t>ROG</t>
  </si>
  <si>
    <t>Rogers Corporation Common Stock</t>
  </si>
  <si>
    <t>ROK</t>
  </si>
  <si>
    <t>Rockwell Automation Inc. Common Stock</t>
  </si>
  <si>
    <t>ROL</t>
  </si>
  <si>
    <t>Rollins Inc. Common Stock</t>
  </si>
  <si>
    <t>ROP</t>
  </si>
  <si>
    <t>Roper Technologies Inc. Common Stock</t>
  </si>
  <si>
    <t>ROSS</t>
  </si>
  <si>
    <t>Ross Acquisition Corp II Class A Ordinary Shares</t>
  </si>
  <si>
    <t>ROT</t>
  </si>
  <si>
    <t>Rotor Acquisition Corp. Class A Common Stock</t>
  </si>
  <si>
    <t>RPAI</t>
  </si>
  <si>
    <t>Retail Properties of America Inc. Class A Common Stock</t>
  </si>
  <si>
    <t>RPM</t>
  </si>
  <si>
    <t>RPM International Inc. Common Stock</t>
  </si>
  <si>
    <t>RPT</t>
  </si>
  <si>
    <t>RPT Realty Common Stock</t>
  </si>
  <si>
    <t>RPT^D</t>
  </si>
  <si>
    <t>RPT Realty 7.25%</t>
  </si>
  <si>
    <t>RQI</t>
  </si>
  <si>
    <t>Cohen &amp; Steers Quality Income Realty Fund Inc Common Shares</t>
  </si>
  <si>
    <t>RRC</t>
  </si>
  <si>
    <t>Range Resources Corporation Common Stock</t>
  </si>
  <si>
    <t>RRD</t>
  </si>
  <si>
    <t>R.R. Donnelley &amp; Sons Company Common Stock</t>
  </si>
  <si>
    <t>RS</t>
  </si>
  <si>
    <t>Reliance Steel &amp; Aluminum Co. Common Stock (DE)</t>
  </si>
  <si>
    <t>RSF</t>
  </si>
  <si>
    <t>RiverNorth Specialty Finance Corporation</t>
  </si>
  <si>
    <t>RSG</t>
  </si>
  <si>
    <t>Republic Services Inc. Common Stock</t>
  </si>
  <si>
    <t>RSI</t>
  </si>
  <si>
    <t>Rush Street Interactive Inc. Class A Common Stock</t>
  </si>
  <si>
    <t>RSKD</t>
  </si>
  <si>
    <t>Riskified Ltd. Class A Ordinary Shares</t>
  </si>
  <si>
    <t>RTP</t>
  </si>
  <si>
    <t>Reinvent Technology Partners Class A Ordinary Shares</t>
  </si>
  <si>
    <t>RTX</t>
  </si>
  <si>
    <t>Raytheon Technologies Corporation Common Stock</t>
  </si>
  <si>
    <t>RVI</t>
  </si>
  <si>
    <t>Retail Value Inc. Common Stock</t>
  </si>
  <si>
    <t>RVLV</t>
  </si>
  <si>
    <t>Revolve Group Inc. Class A Common Stock</t>
  </si>
  <si>
    <t>RVT</t>
  </si>
  <si>
    <t>Royce Value Trust Inc. Common Stock</t>
  </si>
  <si>
    <t>RWT</t>
  </si>
  <si>
    <t>Redwood Trust Inc. Common Stock</t>
  </si>
  <si>
    <t>RXN</t>
  </si>
  <si>
    <t>Rexnord Corporation Common Stock</t>
  </si>
  <si>
    <t>RY</t>
  </si>
  <si>
    <t>Royal Bank Of Canada Common Stock</t>
  </si>
  <si>
    <t>RYAM</t>
  </si>
  <si>
    <t>Rayonier Advanced Materials Inc. Common Stock</t>
  </si>
  <si>
    <t>RYAN</t>
  </si>
  <si>
    <t>Ryan Specialty Group Holdings Inc. Class A Common Stock</t>
  </si>
  <si>
    <t>RYB</t>
  </si>
  <si>
    <t>RYB Education Inc. American depositary shares each representing one Class A ordinary share</t>
  </si>
  <si>
    <t>RYI</t>
  </si>
  <si>
    <t>Ryerson Holding Corporation Common Stock</t>
  </si>
  <si>
    <t>RYN</t>
  </si>
  <si>
    <t>Rayonier Inc. REIT Common Stock</t>
  </si>
  <si>
    <t>RZA</t>
  </si>
  <si>
    <t>Reinsurance Group of America Incorporated 6.20% Fixed-to-Floating Rate Subordinated Debentures due 2042</t>
  </si>
  <si>
    <t>RZB</t>
  </si>
  <si>
    <t>Reinsurance Group of America Incorporated 5.75% Fixed-To-Floating Rate Subordinated Debentures due 2056</t>
  </si>
  <si>
    <t>S</t>
  </si>
  <si>
    <t>SentinelOne Inc. Class A Common Stock</t>
  </si>
  <si>
    <t>SA</t>
  </si>
  <si>
    <t>Seabridge Gold Inc. Ordinary Shares (Canada)</t>
  </si>
  <si>
    <t>SAF</t>
  </si>
  <si>
    <t>Saratoga Investment Corp 6.25% Notes due 2023</t>
  </si>
  <si>
    <t>SAFE</t>
  </si>
  <si>
    <t>Safehold Inc. Common Stock</t>
  </si>
  <si>
    <t>SAH</t>
  </si>
  <si>
    <t>Sonic Automotive Inc. Common Stock</t>
  </si>
  <si>
    <t>SAIC</t>
  </si>
  <si>
    <t>SCIENCE APPLICATIONS INTERNATIONAL CORPORATION Common Stock</t>
  </si>
  <si>
    <t>SAIL</t>
  </si>
  <si>
    <t>SailPoint Technologies Holdings Inc. Common Stock</t>
  </si>
  <si>
    <t>SAK</t>
  </si>
  <si>
    <t>Saratoga Investment Corp 7.25% Notes due 2025</t>
  </si>
  <si>
    <t>SAM</t>
  </si>
  <si>
    <t>Boston Beer Company Inc. (The) Common Stock</t>
  </si>
  <si>
    <t>SAN</t>
  </si>
  <si>
    <t>Banco Santander S.A. Sponsored ADR (Spain)</t>
  </si>
  <si>
    <t>SAND</t>
  </si>
  <si>
    <t>Sandstorm Gold Ltd. Ordinary Shares (Canada)</t>
  </si>
  <si>
    <t>SAP</t>
  </si>
  <si>
    <t>SAP  SE ADS</t>
  </si>
  <si>
    <t>SAR</t>
  </si>
  <si>
    <t>Saratoga Investment Corp New</t>
  </si>
  <si>
    <t>SAVE</t>
  </si>
  <si>
    <t>Spirit Airlines Inc. Common Stock</t>
  </si>
  <si>
    <t>SB</t>
  </si>
  <si>
    <t>Safe Bulkers Inc Common Stock ($0.001 par value)</t>
  </si>
  <si>
    <t>SB^C</t>
  </si>
  <si>
    <t>Safe Bulkers Inc Cumulative Redeemable Perpetual Preferred Series C (Marshall Islands)</t>
  </si>
  <si>
    <t>SB^D</t>
  </si>
  <si>
    <t>Safe Bulkers Inc Perpetual Preferred Series D (Marshall Islands)</t>
  </si>
  <si>
    <t>SBBA</t>
  </si>
  <si>
    <t>Scorpio Tankers Inc. 7.00% Senior Notes due 2025</t>
  </si>
  <si>
    <t>SBH</t>
  </si>
  <si>
    <t>Sally Beauty Holdings Inc. (Name to be changed from Sally Holdings Inc.) Common Stock</t>
  </si>
  <si>
    <t>SBI</t>
  </si>
  <si>
    <t>Western Asset Intermediate Muni Fund Inc Common Stock</t>
  </si>
  <si>
    <t>SBII</t>
  </si>
  <si>
    <t>Sandbridge X2 Corp. Class A Common Stock</t>
  </si>
  <si>
    <t>SBOW</t>
  </si>
  <si>
    <t>SilverBow Resorces Inc. Common Stock</t>
  </si>
  <si>
    <t>SBR</t>
  </si>
  <si>
    <t>Sabine Royalty Trust Common Stock</t>
  </si>
  <si>
    <t>SBS</t>
  </si>
  <si>
    <t>Companhia de saneamento Basico Do Estado De Sao Paulo - Sabesp American Depositary Shares (Each repstg 250 Common Shares)</t>
  </si>
  <si>
    <t>SBSW</t>
  </si>
  <si>
    <t>D/B/A Sibanye-Stillwater Limited ADS</t>
  </si>
  <si>
    <t>SC</t>
  </si>
  <si>
    <t>Santander Consumer USA Holdings Inc. Common Stock</t>
  </si>
  <si>
    <t>SCCO</t>
  </si>
  <si>
    <t>Southern Copper Corporation Common Stock</t>
  </si>
  <si>
    <t>SCD</t>
  </si>
  <si>
    <t>LMP Capital and Income Fund Inc. Common Stock</t>
  </si>
  <si>
    <t>SCE^G</t>
  </si>
  <si>
    <t>SCE Trust II Trust Preferred Securities</t>
  </si>
  <si>
    <t>SCE^H</t>
  </si>
  <si>
    <t>SCE Trust III Fixed/Floating Rate Trust Preference Securities</t>
  </si>
  <si>
    <t>SCE^J</t>
  </si>
  <si>
    <t>Southern California Edison Company 5.375% Fixed-to-Floating Rate Trust Preference Securities</t>
  </si>
  <si>
    <t>SCE^K</t>
  </si>
  <si>
    <t>Southern California Edison Company 5.45% Fixed-to-Floating Rate Trust Preference Securities</t>
  </si>
  <si>
    <t>SCE^L</t>
  </si>
  <si>
    <t>SCE TRUST VI</t>
  </si>
  <si>
    <t>SCHW</t>
  </si>
  <si>
    <t>Charles Schwab Corporation (The) Common Stock</t>
  </si>
  <si>
    <t>SCHW^D</t>
  </si>
  <si>
    <t>The Charles Schwab Corporation Depositary Shares each representing 1/40th interest in a share of 5.95% Non-Cumulative Perpetual Preferred Stock Series D</t>
  </si>
  <si>
    <t>SCHW^J</t>
  </si>
  <si>
    <t>The Charles Schwab Corporation Depositary Shares Each Representing a 1/40th Interest in a Share of 4.450% Non-Cumulative Perpetual Preferred Stock Series J</t>
  </si>
  <si>
    <t>SCI</t>
  </si>
  <si>
    <t>Service Corporation International Common Stock</t>
  </si>
  <si>
    <t>SCL</t>
  </si>
  <si>
    <t>Stepan Company Common Stock</t>
  </si>
  <si>
    <t>SCM</t>
  </si>
  <si>
    <t>Stellus Capital Investment Corporation Common Stock</t>
  </si>
  <si>
    <t>SCPE</t>
  </si>
  <si>
    <t>SC Health Corporation Class A Ordinary Shares</t>
  </si>
  <si>
    <t>SCS</t>
  </si>
  <si>
    <t>Steelcase Inc. Common Stock</t>
  </si>
  <si>
    <t>SCU</t>
  </si>
  <si>
    <t>Sculptor Capital Management Inc. Class A Common Stock</t>
  </si>
  <si>
    <t>SCVX</t>
  </si>
  <si>
    <t>SCVX Corp. Class A Ordinary Shares</t>
  </si>
  <si>
    <t>SCX</t>
  </si>
  <si>
    <t>L.S. Starrett Company (The) Common Stock</t>
  </si>
  <si>
    <t>SD</t>
  </si>
  <si>
    <t>SandRidge Energy Inc. Common Stock</t>
  </si>
  <si>
    <t>SDHY</t>
  </si>
  <si>
    <t>PGIM Short Duration High Yield Opportunities Fund Common Shares</t>
  </si>
  <si>
    <t>SE</t>
  </si>
  <si>
    <t>Sea Limited American Depositary Shares each representing one Class A Ordinary Share</t>
  </si>
  <si>
    <t>SEAH</t>
  </si>
  <si>
    <t>Sports Entertainment Acquisition Corp. Class A Common Stock</t>
  </si>
  <si>
    <t>SEAS</t>
  </si>
  <si>
    <t>SeaWorld Entertainment Inc. Common Stock</t>
  </si>
  <si>
    <t>SEE</t>
  </si>
  <si>
    <t>Sealed Air Corporation Common Stock</t>
  </si>
  <si>
    <t>SEM</t>
  </si>
  <si>
    <t>Select Medical Holdings Corporation Common Stock</t>
  </si>
  <si>
    <t>SEMR</t>
  </si>
  <si>
    <t>SEMrush Holdings Inc. Class A Common Stock</t>
  </si>
  <si>
    <t>SF</t>
  </si>
  <si>
    <t>Stifel Financial Corporation Common Stock</t>
  </si>
  <si>
    <t>SF^A</t>
  </si>
  <si>
    <t>Stifel Financial Corporation Depositary Shares each representing a 1/1000th interest in a share of 6.25% Non-Cumulative Preferred Stock Series A</t>
  </si>
  <si>
    <t>SF^B</t>
  </si>
  <si>
    <t>Stifel Financial Corporation Depositary Shares Each Representing 1/1000th  Interest in a Share of 6.25% Non-Cumulative  Preferred Stock Series B</t>
  </si>
  <si>
    <t>SF^C</t>
  </si>
  <si>
    <t>Stifel Financial Corporation Depositary Shares Each Representing 1/1000th Interest in a Share of 6.125% Non Cumulative Preferred Stock Series C</t>
  </si>
  <si>
    <t>SF^D</t>
  </si>
  <si>
    <t>Stifel Financial Corporation Depositary Shares Each Representing 1/1000th Interest in a Share of 4.50% Non-Cumulative Preferred Stock Series D</t>
  </si>
  <si>
    <t>SFB</t>
  </si>
  <si>
    <t>Stifel Financial Corporation 5.20% Senior Notes due 2047</t>
  </si>
  <si>
    <t>SFBS</t>
  </si>
  <si>
    <t>ServisFirst Bancshares Inc. Common Stock</t>
  </si>
  <si>
    <t>SFE</t>
  </si>
  <si>
    <t>Safeguard Scientifics Inc. New Common Stock</t>
  </si>
  <si>
    <t>SFL</t>
  </si>
  <si>
    <t>SFL Corporation Ltd</t>
  </si>
  <si>
    <t>SFTW</t>
  </si>
  <si>
    <t>Osprey Technology Acquisition Corp. Class A Common Stock</t>
  </si>
  <si>
    <t>SFUN</t>
  </si>
  <si>
    <t>Fang Holdings Limited American Depositary Shares (Each representing Four Class A Ordinary Shares HK$1.00 par value)</t>
  </si>
  <si>
    <t>SGFY</t>
  </si>
  <si>
    <t>Signify Health Inc. Class A Common Stock</t>
  </si>
  <si>
    <t>SGU</t>
  </si>
  <si>
    <t>Star Group L.P. Common Stock</t>
  </si>
  <si>
    <t>SHAK</t>
  </si>
  <si>
    <t>Shake Shack Inc. Class A Common Stock</t>
  </si>
  <si>
    <t>SHG</t>
  </si>
  <si>
    <t>Shinhan Financial Group Co Ltd American Depositary Shares</t>
  </si>
  <si>
    <t>SHI</t>
  </si>
  <si>
    <t>SINOPEC Shangai Petrochemical Company Ltd. Common Stock</t>
  </si>
  <si>
    <t>SHLX</t>
  </si>
  <si>
    <t>Shell Midstream Partners L.P. Common Units representing Limited Partner Interests</t>
  </si>
  <si>
    <t>SHO</t>
  </si>
  <si>
    <t>Sunstone Hotel Investors Inc. Sunstone Hotel Investors Inc. Common Shares</t>
  </si>
  <si>
    <t>SHO^F</t>
  </si>
  <si>
    <t>Sunstone Hotel Investors Inc. 6.450% Series F Cumulative Redeemable Preferred Stock</t>
  </si>
  <si>
    <t>SHO^H</t>
  </si>
  <si>
    <t>Sunstone Hotel Investors Inc. 6.125% Series H Cumulative Redeemable Preferred Stock</t>
  </si>
  <si>
    <t>SHO^I</t>
  </si>
  <si>
    <t>Sunstone Hotel Investors Inc. 5.70% Series I Cumulative Redeemable Preferred Stock</t>
  </si>
  <si>
    <t>SHOP</t>
  </si>
  <si>
    <t>Shopify Inc. Class A Subordinate Voting Shares</t>
  </si>
  <si>
    <t>SHW</t>
  </si>
  <si>
    <t>Sherwin-Williams Company (The) Common Stock</t>
  </si>
  <si>
    <t>SI</t>
  </si>
  <si>
    <t>Silvergate Capital Corporation Class A Common Stock</t>
  </si>
  <si>
    <t>SID</t>
  </si>
  <si>
    <t>Companhia Siderurgica Nacional S.A. Common Stock</t>
  </si>
  <si>
    <t>SIG</t>
  </si>
  <si>
    <t>Signet Jewelers Limited Common Shares</t>
  </si>
  <si>
    <t>SII</t>
  </si>
  <si>
    <t>Sprott Inc. Common Shares</t>
  </si>
  <si>
    <t>SITC</t>
  </si>
  <si>
    <t>SITE Centers Corp. Common Stock</t>
  </si>
  <si>
    <t>SITC^A</t>
  </si>
  <si>
    <t>SITE Centers Corp. 6.375% Class A Preferred Shares</t>
  </si>
  <si>
    <t>SITE</t>
  </si>
  <si>
    <t>SiteOne Landscape Supply Inc. Common Stock</t>
  </si>
  <si>
    <t>SIX</t>
  </si>
  <si>
    <t>Six Flags Entertainment Corporation New Common Stock</t>
  </si>
  <si>
    <t>SJI</t>
  </si>
  <si>
    <t>South Jersey Industries Inc. Common Stock</t>
  </si>
  <si>
    <t>SJIJ</t>
  </si>
  <si>
    <t>South Jersey Industries Inc. 5.625% Junior Subordinated Notes due 2079</t>
  </si>
  <si>
    <t>SJIV</t>
  </si>
  <si>
    <t>South Jersey Industries Inc. Corporate Units</t>
  </si>
  <si>
    <t>SJM</t>
  </si>
  <si>
    <t>J.M. Smucker Company (The) New Common Stock</t>
  </si>
  <si>
    <t>SJR</t>
  </si>
  <si>
    <t>Shaw Communications Inc. Common Stock</t>
  </si>
  <si>
    <t>SJT</t>
  </si>
  <si>
    <t>San Juan Basin Royalty Trust Common Stock</t>
  </si>
  <si>
    <t>SJW</t>
  </si>
  <si>
    <t>SJW Group Common Stock (DE)</t>
  </si>
  <si>
    <t>SKIL</t>
  </si>
  <si>
    <t>Skillsoft Corp. Class A Common Stock</t>
  </si>
  <si>
    <t>SKLZ</t>
  </si>
  <si>
    <t>Skillz Inc. Class A Common Stock</t>
  </si>
  <si>
    <t>SKM</t>
  </si>
  <si>
    <t>SK Telecom Co. Ltd. Common Stock</t>
  </si>
  <si>
    <t>SKT</t>
  </si>
  <si>
    <t>Tanger Factory Outlet Centers Inc. Common Stock</t>
  </si>
  <si>
    <t>SKX</t>
  </si>
  <si>
    <t>Skechers U.S.A. Inc. Common Stock</t>
  </si>
  <si>
    <t>SKY</t>
  </si>
  <si>
    <t>Skyline Champion Corporation Common Stock</t>
  </si>
  <si>
    <t>SLAC</t>
  </si>
  <si>
    <t>Social Leverage Acquisition Corp I Class A Common Stock</t>
  </si>
  <si>
    <t>SLB</t>
  </si>
  <si>
    <t>Schlumberger N.V. Common Stock</t>
  </si>
  <si>
    <t>SLCA</t>
  </si>
  <si>
    <t>U.S. Silica Holdings Inc. Common Stock</t>
  </si>
  <si>
    <t>SLF</t>
  </si>
  <si>
    <t>Sun Life Financial Inc. Common Stock</t>
  </si>
  <si>
    <t>SLG</t>
  </si>
  <si>
    <t>SL Green Realty Corp Common Stock</t>
  </si>
  <si>
    <t>SLG^I</t>
  </si>
  <si>
    <t>SL Green Realty Corporation Preferred Series I</t>
  </si>
  <si>
    <t>SLQT</t>
  </si>
  <si>
    <t>SelectQuote Inc. Common Stock</t>
  </si>
  <si>
    <t>SM</t>
  </si>
  <si>
    <t>SM Energy Company Common Stock</t>
  </si>
  <si>
    <t>SMAR</t>
  </si>
  <si>
    <t>Smartsheet Inc. Class A Common Stock</t>
  </si>
  <si>
    <t>SMFG</t>
  </si>
  <si>
    <t>Sumitomo Mitsui Financial Group Inc Unsponsored American Depositary Shares (Japan)</t>
  </si>
  <si>
    <t>SMG</t>
  </si>
  <si>
    <t>Scotts Miracle-Gro Company (The) Common Stock</t>
  </si>
  <si>
    <t>SMHI</t>
  </si>
  <si>
    <t>SEACOR Marine Holdings Inc. Common Stock</t>
  </si>
  <si>
    <t>SMLP</t>
  </si>
  <si>
    <t>Summit Midstream Partners LP Common Units Representing Limited Partner Interests</t>
  </si>
  <si>
    <t>SMM</t>
  </si>
  <si>
    <t>Salient Midstream Common Shares of Beneficial Interest</t>
  </si>
  <si>
    <t>SMP</t>
  </si>
  <si>
    <t>Standard Motor Products Inc. Common Stock</t>
  </si>
  <si>
    <t>SMWB</t>
  </si>
  <si>
    <t>Similarweb Ltd. Ordinary Shares</t>
  </si>
  <si>
    <t>SNA</t>
  </si>
  <si>
    <t>Snap-On Incorporated Common Stock</t>
  </si>
  <si>
    <t>SNAP</t>
  </si>
  <si>
    <t>Snap Inc. Class A Common Stock</t>
  </si>
  <si>
    <t>SNDR</t>
  </si>
  <si>
    <t>Schneider National Inc. Common Stock</t>
  </si>
  <si>
    <t>SNII</t>
  </si>
  <si>
    <t>Supernova Partners Acquisition Company II Ltd. Class A Ordinary Shares</t>
  </si>
  <si>
    <t>SNN</t>
  </si>
  <si>
    <t>Smith &amp; Nephew SNATS Inc. Common Stock</t>
  </si>
  <si>
    <t>SNOW</t>
  </si>
  <si>
    <t>Snowflake Inc. Class A Common Stock</t>
  </si>
  <si>
    <t>SNP</t>
  </si>
  <si>
    <t>China Petroleum &amp; Chemical Corporation Common Stock</t>
  </si>
  <si>
    <t>SNPR</t>
  </si>
  <si>
    <t>Tortoise Acquisition Corp. II Class A Ordinary Shares</t>
  </si>
  <si>
    <t>SNR</t>
  </si>
  <si>
    <t>New Senior Investment Group Inc. Common Stock</t>
  </si>
  <si>
    <t>SNV</t>
  </si>
  <si>
    <t>Synovus Financial Corp. Common Stock</t>
  </si>
  <si>
    <t>SNV^D</t>
  </si>
  <si>
    <t>Synovus Financial Corp. Fixed-to-Floating Rate Non-Cumulative Perpetual Preferred Stock Series D Liquation Preference $25.00 per Share</t>
  </si>
  <si>
    <t>SNV^E</t>
  </si>
  <si>
    <t>Synovus Financial Corp. 5.875% Fixed-Rate Reset Non-Cumulative Perpetual Preferred Stock Series E</t>
  </si>
  <si>
    <t>SNX</t>
  </si>
  <si>
    <t>Synnex Corporation Common Stock</t>
  </si>
  <si>
    <t>SO</t>
  </si>
  <si>
    <t>Southern Company (The) Common Stock</t>
  </si>
  <si>
    <t>SOAC</t>
  </si>
  <si>
    <t>Sustainable Opportunities Acquisition Corp. Class A Ordinary Shares</t>
  </si>
  <si>
    <t>SOGO</t>
  </si>
  <si>
    <t>Sogou Inc. American Depositary Shares each representing one Class A Ordinary Share</t>
  </si>
  <si>
    <t>SOI</t>
  </si>
  <si>
    <t>Solaris Oilfield Infrastructure Inc. Class A Common Stock</t>
  </si>
  <si>
    <t>SOJB</t>
  </si>
  <si>
    <t>Southern Company (The) Series 2016A 5.25% Junior Subordinated Notes due October 1 2076</t>
  </si>
  <si>
    <t>SOJC</t>
  </si>
  <si>
    <t>Southern Company (The) Series 2017B 5.25% Junior Subordinated Notes due December 1 2077</t>
  </si>
  <si>
    <t>SOJD</t>
  </si>
  <si>
    <t>Southern Company (The) Series 2020A 4.95% Junior Subordinated Notes due January 30 2080</t>
  </si>
  <si>
    <t>SOJE</t>
  </si>
  <si>
    <t>Southern Company (The) Series 2020C 4.20% Junior Subordinated Notes due October 15 2060</t>
  </si>
  <si>
    <t>SOL</t>
  </si>
  <si>
    <t>Renesola Ltd. American Depsitary Shares (Each representing 10 shares)</t>
  </si>
  <si>
    <t>SOLN</t>
  </si>
  <si>
    <t>Southern Company (The) 2019 Series A Corporate Units</t>
  </si>
  <si>
    <t>SON</t>
  </si>
  <si>
    <t>Sonoco Products Company Common Stock</t>
  </si>
  <si>
    <t>SONY</t>
  </si>
  <si>
    <t>Sony Group Corporation American Depositary Shares</t>
  </si>
  <si>
    <t>SOR</t>
  </si>
  <si>
    <t>Source Capital Inc. Common Stock</t>
  </si>
  <si>
    <t>SOS</t>
  </si>
  <si>
    <t>SOS Limited American Depositary Shares</t>
  </si>
  <si>
    <t>SPAQ</t>
  </si>
  <si>
    <t>Spartan Acquisition Corp. III Class A Common Stock</t>
  </si>
  <si>
    <t>SPB</t>
  </si>
  <si>
    <t>Spectrum Brands Holdings Inc. Common Stock</t>
  </si>
  <si>
    <t>SPCE</t>
  </si>
  <si>
    <t>Virgin Galactic Holdings Inc. Common Stock</t>
  </si>
  <si>
    <t>SPE</t>
  </si>
  <si>
    <t>Special Opportunities Fund Inc Common Stock</t>
  </si>
  <si>
    <t>SPFR</t>
  </si>
  <si>
    <t>Jaws Spitfire Acquisition Corporation Class A Ordinary Shares</t>
  </si>
  <si>
    <t>SPG</t>
  </si>
  <si>
    <t>Simon Property Group Inc. Common Stock</t>
  </si>
  <si>
    <t>SPG^J</t>
  </si>
  <si>
    <t>Simon Property Group Inc. Simon Property Group 8 3/8% Series J Cumulative Redeemable Preferred Stock</t>
  </si>
  <si>
    <t>SPGI</t>
  </si>
  <si>
    <t>S&amp;P Global Inc. Common Stock</t>
  </si>
  <si>
    <t>SPGS</t>
  </si>
  <si>
    <t>Simon Property Group Acquisition Holdings Inc. Class A Common Stock</t>
  </si>
  <si>
    <t>SPH</t>
  </si>
  <si>
    <t>Suburban Propane Partners L.P. Common Stock</t>
  </si>
  <si>
    <t>SPLP</t>
  </si>
  <si>
    <t>Steel Partners Holdings LP LTD PARTNERSHIP UNIT</t>
  </si>
  <si>
    <t>SPLP^A</t>
  </si>
  <si>
    <t>Steel Partners Holdings LP 6.0% Series A Preferred Units no par value</t>
  </si>
  <si>
    <t>SPNT</t>
  </si>
  <si>
    <t>SiriusPoint Ltd. Common Shares</t>
  </si>
  <si>
    <t>SPNT^B</t>
  </si>
  <si>
    <t>SiriusPoint Ltd. 8.00% Resettable Fixed Rate Preference Shares Series B $25.00 liquidation preference per share</t>
  </si>
  <si>
    <t>SPNV</t>
  </si>
  <si>
    <t>Supernova Partners Acquisition Company Inc. Class A Common Stock</t>
  </si>
  <si>
    <t>SPOT</t>
  </si>
  <si>
    <t>Spotify Technology S.A. Ordinary Shares</t>
  </si>
  <si>
    <t>SPR</t>
  </si>
  <si>
    <t>Spirit Aerosystems Holdings Inc. Common Stock</t>
  </si>
  <si>
    <t>SPXC</t>
  </si>
  <si>
    <t>SPX Corporation Common Stock</t>
  </si>
  <si>
    <t>SPXX</t>
  </si>
  <si>
    <t>Nuveen S&amp;P 500 Dynamic Overwrite Fund</t>
  </si>
  <si>
    <t>SQ</t>
  </si>
  <si>
    <t>Square Inc. Class A Common Stock</t>
  </si>
  <si>
    <t>SQM</t>
  </si>
  <si>
    <t>Sociedad Quimica y Minera S.A. Common Stock</t>
  </si>
  <si>
    <t>SQNS</t>
  </si>
  <si>
    <t>Sequans Communications S.A. American Depositary Shares</t>
  </si>
  <si>
    <t>SQSP</t>
  </si>
  <si>
    <t>Squarespace Inc. Class A Common Stock</t>
  </si>
  <si>
    <t>SQZ</t>
  </si>
  <si>
    <t>SQZ Biotechnologies Company Common Stock</t>
  </si>
  <si>
    <t>SR</t>
  </si>
  <si>
    <t>Spire Inc. Common Stock</t>
  </si>
  <si>
    <t>SR^A</t>
  </si>
  <si>
    <t>Spire Inc. Depositary Shares each representing a 1/1000th interest in a share of 5.90% Series A Cumulative Redeemable Perpetual Preferred Stock</t>
  </si>
  <si>
    <t>SRC</t>
  </si>
  <si>
    <t>Spirit Realty Capital Inc. Common Stock</t>
  </si>
  <si>
    <t>SRC^A</t>
  </si>
  <si>
    <t>Spirit Realty Capital Inc. 6.000% Series A Cumulative Redeemable Preferred Stock</t>
  </si>
  <si>
    <t>SRE</t>
  </si>
  <si>
    <t>DBA Sempra Common Stock</t>
  </si>
  <si>
    <t>SREA</t>
  </si>
  <si>
    <t>DBA Sempra 5.750% Junior Subordinated Notes due 2079</t>
  </si>
  <si>
    <t>SRG</t>
  </si>
  <si>
    <t>Seritage Growth Properties Class A Common Stock</t>
  </si>
  <si>
    <t>SRG^A</t>
  </si>
  <si>
    <t>Seritage Growth Properties 7.00% Series A Cumulative Redeemable Preferred Shares of Beneficial Interest</t>
  </si>
  <si>
    <t>SRI</t>
  </si>
  <si>
    <t>Stoneridge Inc. Common Stock</t>
  </si>
  <si>
    <t>SRL</t>
  </si>
  <si>
    <t>Scully Royalty Ltd.</t>
  </si>
  <si>
    <t>SRLP</t>
  </si>
  <si>
    <t>Sprague Resources LP Common Units representing Limited Partner Interests</t>
  </si>
  <si>
    <t>SRT</t>
  </si>
  <si>
    <t>StarTek Inc. Common Stock</t>
  </si>
  <si>
    <t>SRV</t>
  </si>
  <si>
    <t>Cushing MLP &amp; Infrastructure Total Return Fund</t>
  </si>
  <si>
    <t>SSD</t>
  </si>
  <si>
    <t>Simpson Manufacturing Company Inc. Common Stock</t>
  </si>
  <si>
    <t>SSL</t>
  </si>
  <si>
    <t>Sasol Ltd. American Depositary Shares</t>
  </si>
  <si>
    <t>SSTK</t>
  </si>
  <si>
    <t>Shutterstock Inc. Common Stock</t>
  </si>
  <si>
    <t>ST</t>
  </si>
  <si>
    <t>Sensata Technologies Holding plc Ordinary Shares</t>
  </si>
  <si>
    <t>STAG</t>
  </si>
  <si>
    <t>Stag Industrial Inc. Common Stock</t>
  </si>
  <si>
    <t>STAR</t>
  </si>
  <si>
    <t>iStar Inc. Common Stock</t>
  </si>
  <si>
    <t>STAR^D</t>
  </si>
  <si>
    <t>iStar Inc. Series D Cumulative Redeemable Preferred Stock</t>
  </si>
  <si>
    <t>STAR^G</t>
  </si>
  <si>
    <t>iStar Inc. Series G Cumulative Redeemable Preferred Stock</t>
  </si>
  <si>
    <t>STAR^I</t>
  </si>
  <si>
    <t>iStar Inc. Series I Cumulative Redeemable Preferred Stock</t>
  </si>
  <si>
    <t>STC</t>
  </si>
  <si>
    <t>Stewart Information Services Corporation Common Stock</t>
  </si>
  <si>
    <t>STE</t>
  </si>
  <si>
    <t>STERIS plc (Ireland) Ordinary Shares</t>
  </si>
  <si>
    <t>STEM</t>
  </si>
  <si>
    <t>Stem Inc. Class A Common Stock</t>
  </si>
  <si>
    <t>STG</t>
  </si>
  <si>
    <t>Sunlands Technology Group American Depositary Shares representing Class A ordinary shares</t>
  </si>
  <si>
    <t>STK</t>
  </si>
  <si>
    <t>Columbia Seligman Premium Technology Growth Fund Inc</t>
  </si>
  <si>
    <t>STL</t>
  </si>
  <si>
    <t>Sterling Bancorp</t>
  </si>
  <si>
    <t>STL^A</t>
  </si>
  <si>
    <t>Sterling Bancorp Depositary Shares each representing ownership of a 1/40th interest in a share of 6.50% Non-Cumulative Perpetual Preferred Stock Series A</t>
  </si>
  <si>
    <t>STLA</t>
  </si>
  <si>
    <t>Stellantis N.V. Common Shares</t>
  </si>
  <si>
    <t>STM</t>
  </si>
  <si>
    <t>STMicroelectronics N.V. Common Stock</t>
  </si>
  <si>
    <t>STN</t>
  </si>
  <si>
    <t>Stantec Inc Common Stock</t>
  </si>
  <si>
    <t>STNG</t>
  </si>
  <si>
    <t>Scorpio Tankers Inc. Common Shares</t>
  </si>
  <si>
    <t>STON</t>
  </si>
  <si>
    <t>StoneMor Inc. Common Stock</t>
  </si>
  <si>
    <t>STOR</t>
  </si>
  <si>
    <t>STORE Capital Corporation Common Stock</t>
  </si>
  <si>
    <t>STPC</t>
  </si>
  <si>
    <t>Star Peak Corp II Class A Common Stock</t>
  </si>
  <si>
    <t>STT</t>
  </si>
  <si>
    <t>State Street Corporation Common Stock</t>
  </si>
  <si>
    <t>STT^D</t>
  </si>
  <si>
    <t>State Street Corporation Depositary Shares representing 1/4000th Perpetual Preferred Series D</t>
  </si>
  <si>
    <t>STT^G</t>
  </si>
  <si>
    <t>State Street Corporation Depositary shares each representing a 1/4000th ownership interest in a share of Fixed-to-Floating Rate Non-Cumulative</t>
  </si>
  <si>
    <t>STVN</t>
  </si>
  <si>
    <t>Stevanato Group S.p.A. Ordinary Shares</t>
  </si>
  <si>
    <t>STWD</t>
  </si>
  <si>
    <t>STARWOOD PROPERTY TRUST INC. Starwood Property Trust Inc.</t>
  </si>
  <si>
    <t>STZ</t>
  </si>
  <si>
    <t>Constellation Brands Inc. Common Stock</t>
  </si>
  <si>
    <t>STZ/B</t>
  </si>
  <si>
    <t>Constellation Brands Inc</t>
  </si>
  <si>
    <t>SU</t>
  </si>
  <si>
    <t>Suncor Energy  Inc. Common Stock</t>
  </si>
  <si>
    <t>SUI</t>
  </si>
  <si>
    <t>Sun Communities Inc. Common Stock</t>
  </si>
  <si>
    <t>SUM</t>
  </si>
  <si>
    <t>Summit Materials Inc. Class A Common Stock</t>
  </si>
  <si>
    <t>SUN</t>
  </si>
  <si>
    <t>Sunoco LP Common Units representing limited partner interests</t>
  </si>
  <si>
    <t>SUNL</t>
  </si>
  <si>
    <t>Sunlight Financial Holdings Inc. Class A Common Stock</t>
  </si>
  <si>
    <t>SUP</t>
  </si>
  <si>
    <t>Superior Industries International Inc. Common Stock (DE)</t>
  </si>
  <si>
    <t>SUPV</t>
  </si>
  <si>
    <t>Grupo Supervielle S.A. American Depositary Shares each Representing five Class B shares</t>
  </si>
  <si>
    <t>SUZ</t>
  </si>
  <si>
    <t>Suzano S.A. American Depositary Shares (each representing One Ordinary Share)</t>
  </si>
  <si>
    <t>SWBK</t>
  </si>
  <si>
    <t>Switchback II Corporation Class A Ordinary Shares</t>
  </si>
  <si>
    <t>SWCH</t>
  </si>
  <si>
    <t>Switch Inc. Class A Common Stock</t>
  </si>
  <si>
    <t>SWI</t>
  </si>
  <si>
    <t>SolarWinds Corporation Common Stock</t>
  </si>
  <si>
    <t>SWK</t>
  </si>
  <si>
    <t>Stanley Black &amp; Decker Inc. Common Stock</t>
  </si>
  <si>
    <t>SWM</t>
  </si>
  <si>
    <t>Schweitzer-Mauduit International Inc. Common Stock</t>
  </si>
  <si>
    <t>SWN</t>
  </si>
  <si>
    <t>Southwestern Energy Company Common Stock</t>
  </si>
  <si>
    <t>SWT</t>
  </si>
  <si>
    <t>Stanley Black &amp; Decker Inc. Corporate Unit</t>
  </si>
  <si>
    <t>SWX</t>
  </si>
  <si>
    <t>Southwest Gas Holdings Inc. Common Stock (DE)</t>
  </si>
  <si>
    <t>SWZ</t>
  </si>
  <si>
    <t>Swiss Helvetia Fund Inc. (The) Common Stock</t>
  </si>
  <si>
    <t>SXC</t>
  </si>
  <si>
    <t>SunCoke Energy Inc. Common Stock</t>
  </si>
  <si>
    <t>SXI</t>
  </si>
  <si>
    <t>Standex International Corporation Common Stock</t>
  </si>
  <si>
    <t>SXT</t>
  </si>
  <si>
    <t>Sensient Technologies Corporation Common Stock</t>
  </si>
  <si>
    <t>SYF</t>
  </si>
  <si>
    <t>Synchrony Financial Common Stock</t>
  </si>
  <si>
    <t>SYF^A</t>
  </si>
  <si>
    <t>Synchrony Financial Depositary Shares each Representing a 1/40th Interest in a Share of 5.625% Fixed Rate Non-Cumulative Perpetual Preferred Stock Series A</t>
  </si>
  <si>
    <t>SYK</t>
  </si>
  <si>
    <t>Stryker Corporation Common Stock</t>
  </si>
  <si>
    <t>SYY</t>
  </si>
  <si>
    <t>Sysco Corporation Common Stock</t>
  </si>
  <si>
    <t>SZC</t>
  </si>
  <si>
    <t>Cushing NextGen Infrastructure Income Fund Common Shares of Beneficial Interest</t>
  </si>
  <si>
    <t>T</t>
  </si>
  <si>
    <t>AT&amp;T Inc.</t>
  </si>
  <si>
    <t>T^A</t>
  </si>
  <si>
    <t>AT&amp;T Inc. Depositary Shares each representing a 1/1000th interest in a share of 5.000% Perpetual Preferred Stock Series A</t>
  </si>
  <si>
    <t>T^C</t>
  </si>
  <si>
    <t>AT&amp;T Inc. Depositary Shares each representing a 1/1000th interest in a share of 4.750% Perpetual Preferred Stock Series C</t>
  </si>
  <si>
    <t>TAC</t>
  </si>
  <si>
    <t>TransAlta Corporation Ordinary Shares</t>
  </si>
  <si>
    <t>TACA</t>
  </si>
  <si>
    <t>Trepont Acquisition Corp I Class A Ordinary Shares</t>
  </si>
  <si>
    <t>TAK</t>
  </si>
  <si>
    <t>Takeda Pharmaceutical Company Limited American Depositary Shares (each representing 1/2 of a share of Common Stock)</t>
  </si>
  <si>
    <t>TAL</t>
  </si>
  <si>
    <t>TAL Education Group American Depositary Shares</t>
  </si>
  <si>
    <t>TALO</t>
  </si>
  <si>
    <t>Talos Energy Inc. Common Stock</t>
  </si>
  <si>
    <t>TAP</t>
  </si>
  <si>
    <t>Molson Coors Beverage Company Class B Common Stock</t>
  </si>
  <si>
    <t>TARO</t>
  </si>
  <si>
    <t>Taro Pharmaceutical Industries Ltd. Ordinary Shares</t>
  </si>
  <si>
    <t>TBB</t>
  </si>
  <si>
    <t>AT&amp;T Inc. 5.350% Global Notes due 2066</t>
  </si>
  <si>
    <t>TBC</t>
  </si>
  <si>
    <t>AT&amp;T Inc. 5.625% Global Notes due 2067</t>
  </si>
  <si>
    <t>TBI</t>
  </si>
  <si>
    <t>TrueBlue Inc. Common Stock</t>
  </si>
  <si>
    <t>TCI</t>
  </si>
  <si>
    <t>Transcontinental Realty Investors Inc. Common Stock</t>
  </si>
  <si>
    <t>TCS</t>
  </si>
  <si>
    <t>Container Store (The) Common Stock</t>
  </si>
  <si>
    <t>TD</t>
  </si>
  <si>
    <t>Toronto Dominion Bank (The) Common Stock</t>
  </si>
  <si>
    <t>TDA</t>
  </si>
  <si>
    <t>Telephone and Data Systems Inc. 5.875% Senior Notes due 2061</t>
  </si>
  <si>
    <t>TDC</t>
  </si>
  <si>
    <t>Teradata Corporation Common Stock</t>
  </si>
  <si>
    <t>TDF</t>
  </si>
  <si>
    <t>Templeton Dragon Fund Inc. Common Stock</t>
  </si>
  <si>
    <t>TDG</t>
  </si>
  <si>
    <t>Transdigm Group Incorporated Transdigm Group Inc. Common Stock</t>
  </si>
  <si>
    <t>TDI</t>
  </si>
  <si>
    <t>Telephone and Data Systems Inc. Sr Nt</t>
  </si>
  <si>
    <t>TDOC</t>
  </si>
  <si>
    <t>Teladoc Health Inc. Common Stock</t>
  </si>
  <si>
    <t>TDS</t>
  </si>
  <si>
    <t>Telephone and Data Systems Inc. Common Shares</t>
  </si>
  <si>
    <t>TDS^U</t>
  </si>
  <si>
    <t>Telephone and Data Systems Inc. Depositary Shares Each Representing a 1/1000th Interest in a 6.625% Series UU Cumulative Redeemable Perpetual Preferred Stock</t>
  </si>
  <si>
    <t>TDW</t>
  </si>
  <si>
    <t>Tidewater Inc. Common Stock</t>
  </si>
  <si>
    <t>TDY</t>
  </si>
  <si>
    <t>Teledyne Technologies Incorporated Common Stock</t>
  </si>
  <si>
    <t>TEAF</t>
  </si>
  <si>
    <t>Ecofin Sustainable and Social Impact Term Fund</t>
  </si>
  <si>
    <t>TECK</t>
  </si>
  <si>
    <t>Teck Resources Ltd Ordinary Shares</t>
  </si>
  <si>
    <t>TEF</t>
  </si>
  <si>
    <t>Telefonica SA Common Stock</t>
  </si>
  <si>
    <t>TEI</t>
  </si>
  <si>
    <t>Templeton Emerging Markets Income Fund Inc. Common Stock</t>
  </si>
  <si>
    <t>TEL</t>
  </si>
  <si>
    <t>TE Connectivity Ltd. New Switzerland Registered Shares</t>
  </si>
  <si>
    <t>TEN</t>
  </si>
  <si>
    <t>Tenneco Inc. Class A Voting Common Stock</t>
  </si>
  <si>
    <t>TEO</t>
  </si>
  <si>
    <t>Telecom Argentina SA</t>
  </si>
  <si>
    <t>TEVA</t>
  </si>
  <si>
    <t>Teva Pharmaceutical Industries Limited American Depositary Shares</t>
  </si>
  <si>
    <t>TEX</t>
  </si>
  <si>
    <t>Terex Corporation Common Stock</t>
  </si>
  <si>
    <t>TFC</t>
  </si>
  <si>
    <t>Truist Financial Corporation Common Stock</t>
  </si>
  <si>
    <t>TFC^I</t>
  </si>
  <si>
    <t>Truist Financial Corporation Depositary Shares</t>
  </si>
  <si>
    <t>TFC^O</t>
  </si>
  <si>
    <t>Truist Financial Corporation Depositary Shares Each Representing a 1/1000th Interest in a Share of Series O Non-Cumulative Perpetual Preferred Stock</t>
  </si>
  <si>
    <t>TFC^R</t>
  </si>
  <si>
    <t>Truist Financial Corporation Depositary Shares each representing 1/1000th interest in a share of Series R Non-Cumulative Perpetual Preferred Stock</t>
  </si>
  <si>
    <t>TFII</t>
  </si>
  <si>
    <t>TFI International Inc. Common Shares</t>
  </si>
  <si>
    <t>TFSA</t>
  </si>
  <si>
    <t>Terra Income Fund VI 7.00% Notes due 2026</t>
  </si>
  <si>
    <t>TFX</t>
  </si>
  <si>
    <t>Teleflex Incorporated Common Stock</t>
  </si>
  <si>
    <t>TG</t>
  </si>
  <si>
    <t>Tredegar Corporation Common Stock</t>
  </si>
  <si>
    <t>TGH</t>
  </si>
  <si>
    <t>Textainer Group Holdings Limited Common Shares</t>
  </si>
  <si>
    <t>TGH^A</t>
  </si>
  <si>
    <t>Textainer Group Holdings Limited Depositary Shares each representing a 1/1000th interest in a share of 7.000% Series A Cumulative Redeemable Perpetual Preference Shares</t>
  </si>
  <si>
    <t>TGI</t>
  </si>
  <si>
    <t>Triumph Group Inc. Common Stock</t>
  </si>
  <si>
    <t>TGNA</t>
  </si>
  <si>
    <t>TEGNA Inc</t>
  </si>
  <si>
    <t>TGP</t>
  </si>
  <si>
    <t>Teekay LNG Partners L.P.</t>
  </si>
  <si>
    <t>TGP^A</t>
  </si>
  <si>
    <t>Teekay LNG Partners L.P. 9.00% Series A Cumulative Redeemable Perpetual Preferred Units representing limited partner interests</t>
  </si>
  <si>
    <t>TGP^B</t>
  </si>
  <si>
    <t>Teekay LNG Partners L.P. 8.50% Series B Fixed-to-Floating Rate Cumulative Redeemable Perpetual Preferred Units representing limited partner interests</t>
  </si>
  <si>
    <t>TGS</t>
  </si>
  <si>
    <t>Transportadora de Gas del Sur SA TGS Common Stock</t>
  </si>
  <si>
    <t>TGT</t>
  </si>
  <si>
    <t>Target Corporation Common Stock</t>
  </si>
  <si>
    <t>THC</t>
  </si>
  <si>
    <t>Tenet Healthcare Corporation Common Stock</t>
  </si>
  <si>
    <t>THG</t>
  </si>
  <si>
    <t>Hanover Insurance Group Inc</t>
  </si>
  <si>
    <t>THO</t>
  </si>
  <si>
    <t>Thor Industries Inc. Common Stock</t>
  </si>
  <si>
    <t>THQ</t>
  </si>
  <si>
    <t>Tekla Healthcare Opportunies Fund Shares of Beneficial Interest</t>
  </si>
  <si>
    <t>THR</t>
  </si>
  <si>
    <t>Thermon Group Holdings Inc. Common Stock</t>
  </si>
  <si>
    <t>THS</t>
  </si>
  <si>
    <t>Treehouse Foods Inc. Common Stock</t>
  </si>
  <si>
    <t>THW</t>
  </si>
  <si>
    <t>Tekla World Healthcare Fund Shares of Beneficial Interest</t>
  </si>
  <si>
    <t>TIMB</t>
  </si>
  <si>
    <t>TIM S.A. American Depositary Shares (Each representing 5 Common Shares)</t>
  </si>
  <si>
    <t>TINV</t>
  </si>
  <si>
    <t>Tiga Acquisition Corp. Class A Ordinary Shares</t>
  </si>
  <si>
    <t>TISI</t>
  </si>
  <si>
    <t>Team Inc. Common Stock</t>
  </si>
  <si>
    <t>TIXT</t>
  </si>
  <si>
    <t>TELUS International (Cda) Inc. Subordinate Voting Shares</t>
  </si>
  <si>
    <t>TJX</t>
  </si>
  <si>
    <t>TJX Companies Inc. (The) Common Stock</t>
  </si>
  <si>
    <t>TK</t>
  </si>
  <si>
    <t>Teekay Corporation Common Stock</t>
  </si>
  <si>
    <t>TKC</t>
  </si>
  <si>
    <t>Turkcell Iletisim Hizmetleri AS Common Stock</t>
  </si>
  <si>
    <t>TKR</t>
  </si>
  <si>
    <t>Timken Company (The) Common Stock</t>
  </si>
  <si>
    <t>TLGA</t>
  </si>
  <si>
    <t>TLG Acquisition One Corp. Class A Common Stock</t>
  </si>
  <si>
    <t>TLK</t>
  </si>
  <si>
    <t>PT Telekomunikasi Indonesia Tbk</t>
  </si>
  <si>
    <t>TLYS</t>
  </si>
  <si>
    <t>Tilly's Inc. Common Stock</t>
  </si>
  <si>
    <t>TM</t>
  </si>
  <si>
    <t>Toyota Motor Corporation Common Stock</t>
  </si>
  <si>
    <t>TMAC</t>
  </si>
  <si>
    <t>The Music Acquisition Corporation Class A Common Stock</t>
  </si>
  <si>
    <t>TME</t>
  </si>
  <si>
    <t>Tencent Music Entertainment Group American Depositary Shares each representing two Class A Ordinary Shares</t>
  </si>
  <si>
    <t>TMHC</t>
  </si>
  <si>
    <t>Taylor Morrison Home Corporation Common Stock</t>
  </si>
  <si>
    <t>TMO</t>
  </si>
  <si>
    <t>Thermo Fisher Scientific Inc Common Stock</t>
  </si>
  <si>
    <t>TMST</t>
  </si>
  <si>
    <t>TimkenSteel Corporation Common Shares</t>
  </si>
  <si>
    <t>TMX</t>
  </si>
  <si>
    <t>Terminix Global Holdings Inc. Common Stock</t>
  </si>
  <si>
    <t>TNC</t>
  </si>
  <si>
    <t>Tennant Company Common Stock</t>
  </si>
  <si>
    <t>TNET</t>
  </si>
  <si>
    <t>TriNet Group Inc. Common Stock</t>
  </si>
  <si>
    <t>TNK</t>
  </si>
  <si>
    <t>Teekay Tankers Ltd.</t>
  </si>
  <si>
    <t>TNL</t>
  </si>
  <si>
    <t>Travel   Leisure Co. Common  Stock</t>
  </si>
  <si>
    <t>TNP</t>
  </si>
  <si>
    <t>Tsakos Energy Navigation Ltd Common Shares</t>
  </si>
  <si>
    <t>TNP^D</t>
  </si>
  <si>
    <t>Tsakos Energy Navigation Ltd 8.75% Series D Cumulative Redeemable Perpetual Preferred Shares</t>
  </si>
  <si>
    <t>TNP^E</t>
  </si>
  <si>
    <t>Tsakos Energy Navigation Ltd Series E Fixed-to-Floating Rate Cumulative Redeemable Perpetual Preferred Shares par value $1.00</t>
  </si>
  <si>
    <t>TNP^F</t>
  </si>
  <si>
    <t>Tsakos Energy Navigation Ltd Series F Fixed-to-Floating Rate Cumulative Redeemable Perpetual Preferred Shares par value $1.00</t>
  </si>
  <si>
    <t>TOL</t>
  </si>
  <si>
    <t>Toll Brothers Inc. Common Stock</t>
  </si>
  <si>
    <t>TPB</t>
  </si>
  <si>
    <t>Turning Point Brands Inc. Common Stock</t>
  </si>
  <si>
    <t>TPC</t>
  </si>
  <si>
    <t>Tutor Perini Corporation Common Stock</t>
  </si>
  <si>
    <t>TPGS</t>
  </si>
  <si>
    <t>TPG Pace Solutions Corp. Class A Ordinary Shares</t>
  </si>
  <si>
    <t>TPGY</t>
  </si>
  <si>
    <t>TPG Pace Beneficial Finance Corp. Class A Ordinary Shares</t>
  </si>
  <si>
    <t>TPH</t>
  </si>
  <si>
    <t>Tri Pointe Homes Inc. Common Stock</t>
  </si>
  <si>
    <t>TPL</t>
  </si>
  <si>
    <t>Texas Pacific Land Corporation Common Stock</t>
  </si>
  <si>
    <t>TPR</t>
  </si>
  <si>
    <t>Tapestry Inc. Common Stock</t>
  </si>
  <si>
    <t>TPTA</t>
  </si>
  <si>
    <t>Terra Property Trust Inc. 6.00% Notes due 2026</t>
  </si>
  <si>
    <t>TPVG</t>
  </si>
  <si>
    <t>TriplePoint Venture Growth BDC Corp. Common Stock</t>
  </si>
  <si>
    <t>TPX</t>
  </si>
  <si>
    <t>Tempur Sealy International Inc. Common Stock</t>
  </si>
  <si>
    <t>TPZ</t>
  </si>
  <si>
    <t>Tortoise Power and Energy Infrastructure Fund Inc Common Stock</t>
  </si>
  <si>
    <t>TR</t>
  </si>
  <si>
    <t>Tootsie Roll Industries Inc. Common Stock</t>
  </si>
  <si>
    <t>TRC</t>
  </si>
  <si>
    <t>Tejon Ranch Co Common Stock</t>
  </si>
  <si>
    <t>TRCA</t>
  </si>
  <si>
    <t>Twin Ridge Capital Acquisition Corp. Class A Ordinary Shares</t>
  </si>
  <si>
    <t>TREB</t>
  </si>
  <si>
    <t>Trebia Acquisition Corp. Class A Ordinary Shares</t>
  </si>
  <si>
    <t>TREC</t>
  </si>
  <si>
    <t>Trecora Resources Common Stock</t>
  </si>
  <si>
    <t>TREX</t>
  </si>
  <si>
    <t>Trex Company Inc. Common Stock</t>
  </si>
  <si>
    <t>TRGP</t>
  </si>
  <si>
    <t>Targa Resources Inc. Common Stock</t>
  </si>
  <si>
    <t>TRI</t>
  </si>
  <si>
    <t>Thomson Reuters Corp Ordinary Shares</t>
  </si>
  <si>
    <t>TRN</t>
  </si>
  <si>
    <t>Trinity Industries Inc. Common Stock</t>
  </si>
  <si>
    <t>TRNO</t>
  </si>
  <si>
    <t>Terreno Realty Corporation Common Stock</t>
  </si>
  <si>
    <t>TROX</t>
  </si>
  <si>
    <t>Tronox Holdings plc Ordinary Shares (UK)</t>
  </si>
  <si>
    <t>TRP</t>
  </si>
  <si>
    <t>TC Energy Corporation Common Stock</t>
  </si>
  <si>
    <t>TRQ</t>
  </si>
  <si>
    <t>Turquoise Hill Resources Ltd. Ordinary Shares</t>
  </si>
  <si>
    <t>TRTN</t>
  </si>
  <si>
    <t>Triton International Limited Common Shares</t>
  </si>
  <si>
    <t>TRTN^A</t>
  </si>
  <si>
    <t>Triton International Limited 8.50% Series A Cumulative Redeemable Perpetual  Preference Shares</t>
  </si>
  <si>
    <t>TRTN^B</t>
  </si>
  <si>
    <t>Triton International Limited 8.00% Series B Cumulative Redeemable Perpetual Preference Shares</t>
  </si>
  <si>
    <t>TRTN^C</t>
  </si>
  <si>
    <t>Triton International Limited 7.375% Series C Cumulative Redeemable Perpetual Preference Shares</t>
  </si>
  <si>
    <t>TRTN^D</t>
  </si>
  <si>
    <t>Triton International Limited 6.875% Series D Cumulative Redeemable Perpetual Preference Shares</t>
  </si>
  <si>
    <t>TRTX</t>
  </si>
  <si>
    <t>TPG RE Finance Trust Inc. Common Stock</t>
  </si>
  <si>
    <t>TRTX^C</t>
  </si>
  <si>
    <t>TPG RE Finance Trust Inc. 6.25% Series C Cumulative Redeemable Preferred Stock $0.001 par value per share</t>
  </si>
  <si>
    <t>TRU</t>
  </si>
  <si>
    <t>TransUnion Common Stock</t>
  </si>
  <si>
    <t>TRV</t>
  </si>
  <si>
    <t>The Travelers Companies Inc. Common Stock</t>
  </si>
  <si>
    <t>TS</t>
  </si>
  <si>
    <t>Tenaris S.A. American Depositary Shares</t>
  </si>
  <si>
    <t>TSE</t>
  </si>
  <si>
    <t>Trinseo S.A. Ordinary Shares</t>
  </si>
  <si>
    <t>TSI</t>
  </si>
  <si>
    <t>TCW Strategic Income Fund Inc. Common Stock</t>
  </si>
  <si>
    <t>TSLX</t>
  </si>
  <si>
    <t>Sixth Street Specialty Lending Inc. Common Stock</t>
  </si>
  <si>
    <t>TSM</t>
  </si>
  <si>
    <t>Taiwan Semiconductor Manufacturing Company Ltd.</t>
  </si>
  <si>
    <t>TSN</t>
  </si>
  <si>
    <t>Tyson Foods Inc. Common Stock</t>
  </si>
  <si>
    <t>TSPQ</t>
  </si>
  <si>
    <t>TCW Special Purpose Acquisition Corp. Class A Common Stock</t>
  </si>
  <si>
    <t>TSQ</t>
  </si>
  <si>
    <t>Townsquare Media Inc. Class A Common Stock</t>
  </si>
  <si>
    <t>TT</t>
  </si>
  <si>
    <t>Trane Technologies plc</t>
  </si>
  <si>
    <t>TTC</t>
  </si>
  <si>
    <t>Toro Company (The) Common Stock</t>
  </si>
  <si>
    <t>TTE</t>
  </si>
  <si>
    <t>TotalEnergies SE</t>
  </si>
  <si>
    <t>TTI</t>
  </si>
  <si>
    <t>Tetra Technologies Inc. Common Stock</t>
  </si>
  <si>
    <t>TTM</t>
  </si>
  <si>
    <t>Tata Motors Ltd Tata Motors Limited</t>
  </si>
  <si>
    <t>TTP</t>
  </si>
  <si>
    <t>Tortoise Pipeline &amp; Energy Fund Inc. Common Stock</t>
  </si>
  <si>
    <t>TU</t>
  </si>
  <si>
    <t>Telus Corporation Ordinary Shares</t>
  </si>
  <si>
    <t>TUFN</t>
  </si>
  <si>
    <t>Tufin Software Technologies Ltd. Ordinary Shares</t>
  </si>
  <si>
    <t>TUP</t>
  </si>
  <si>
    <t>Tupperware Brands Corporation Common Stock</t>
  </si>
  <si>
    <t>TUYA</t>
  </si>
  <si>
    <t>Tuya Inc. American Depositary Shares each representing one Class A Ordinary Share</t>
  </si>
  <si>
    <t>TV</t>
  </si>
  <si>
    <t>Grupo Televisa S.A. Common Stock</t>
  </si>
  <si>
    <t>TVC</t>
  </si>
  <si>
    <t>Tennessee Valley Authority Common Stock</t>
  </si>
  <si>
    <t>TVE</t>
  </si>
  <si>
    <t>Tennessee Valley Authority</t>
  </si>
  <si>
    <t>TWI</t>
  </si>
  <si>
    <t>Titan International Inc. (DE) Common Stock</t>
  </si>
  <si>
    <t>TWLO</t>
  </si>
  <si>
    <t>Twilio Inc. Class A Common Stock</t>
  </si>
  <si>
    <t>TWN</t>
  </si>
  <si>
    <t>Taiwan Fund Inc. (The) Common Stock</t>
  </si>
  <si>
    <t>TWND</t>
  </si>
  <si>
    <t>Tailwind Acquisition Corp. Class A Common Stock</t>
  </si>
  <si>
    <t>TWNI</t>
  </si>
  <si>
    <t>Tailwind International Acquisition Corp. Class A Ordinary Shares</t>
  </si>
  <si>
    <t>TWNT</t>
  </si>
  <si>
    <t>Tailwind Two Acquisition Corp. Class A Ordinary Shares</t>
  </si>
  <si>
    <t>TWO</t>
  </si>
  <si>
    <t>Two Harbors Investment Corp</t>
  </si>
  <si>
    <t>TWO^A</t>
  </si>
  <si>
    <t>Two Harbors Investments Corp 8.125% Series A Fixed-to-Floating Rate Cumulative Redeemable Preferred Stock ($25.00 liquidation preference per share)</t>
  </si>
  <si>
    <t>TWO^B</t>
  </si>
  <si>
    <t>Two Harbors Investments Corp 7.625% Series B Fixed-to-Floating Rate Cumulative Redeemable Preferred Stock</t>
  </si>
  <si>
    <t>TWO^C</t>
  </si>
  <si>
    <t>Two Harbors Investments Corp 7.25% Series C Fixed-to-Floating Rate Cumulative Redeemable Preferred Stock</t>
  </si>
  <si>
    <t>TWOA</t>
  </si>
  <si>
    <t>two Class A Ordinary Shares</t>
  </si>
  <si>
    <t>TWTR</t>
  </si>
  <si>
    <t>Twitter Inc. Common Stock</t>
  </si>
  <si>
    <t>TX</t>
  </si>
  <si>
    <t>Ternium S.A. Ternium S.A. American Depositary Shares (each representing ten shares USD1.00 par value)</t>
  </si>
  <si>
    <t>TXT</t>
  </si>
  <si>
    <t>Textron Inc. Common Stock</t>
  </si>
  <si>
    <t>TY</t>
  </si>
  <si>
    <t>Tri Continental Corporation Common Stock</t>
  </si>
  <si>
    <t>TY^</t>
  </si>
  <si>
    <t>Tri Continental Corporation Preferred Stock</t>
  </si>
  <si>
    <t>TYG</t>
  </si>
  <si>
    <t>Tortoise Energy Infrastructure Corporation Common Stock</t>
  </si>
  <si>
    <t>TYL</t>
  </si>
  <si>
    <t>Tyler Technologies Inc. Common Stock</t>
  </si>
  <si>
    <t>U</t>
  </si>
  <si>
    <t>Unity Software Inc. Common Stock</t>
  </si>
  <si>
    <t>UA</t>
  </si>
  <si>
    <t>Under Armour Inc. Class C Common Stock</t>
  </si>
  <si>
    <t>UAA</t>
  </si>
  <si>
    <t>Under Armour Inc. Class A Common Stock</t>
  </si>
  <si>
    <t>UAN</t>
  </si>
  <si>
    <t>CVR Partners LP Common Units representing Limited Partner Interests</t>
  </si>
  <si>
    <t>UBA</t>
  </si>
  <si>
    <t>Urstadt Biddle Properties Inc. Common Stock</t>
  </si>
  <si>
    <t>UBER</t>
  </si>
  <si>
    <t>Uber Technologies Inc. Common Stock</t>
  </si>
  <si>
    <t>UBP</t>
  </si>
  <si>
    <t>UBP^H</t>
  </si>
  <si>
    <t>Urstadt Biddle Properties Inc. 6.250% Series H Cumulative Redeemable Preferred Stock</t>
  </si>
  <si>
    <t>UBP^K</t>
  </si>
  <si>
    <t>Urstadt Biddle Properties Inc. 5.875% Series K Cumulative Redeemable Preferred Stock</t>
  </si>
  <si>
    <t>UBS</t>
  </si>
  <si>
    <t>UBS Group AG Registered Ordinary Shares</t>
  </si>
  <si>
    <t>UDR</t>
  </si>
  <si>
    <t>UDR Inc. Common Stock</t>
  </si>
  <si>
    <t>UE</t>
  </si>
  <si>
    <t>Urban Edge Properties Common Shares of Beneficial Interest</t>
  </si>
  <si>
    <t>UFI</t>
  </si>
  <si>
    <t>Unifi Inc. New Common Stock</t>
  </si>
  <si>
    <t>UFS</t>
  </si>
  <si>
    <t>Domtar Corporation (NEW) Common Stock</t>
  </si>
  <si>
    <t>UGI</t>
  </si>
  <si>
    <t>UGI Corporation Common Stock</t>
  </si>
  <si>
    <t>UGIC</t>
  </si>
  <si>
    <t>UGI Corporation Corporate Units</t>
  </si>
  <si>
    <t>UGP</t>
  </si>
  <si>
    <t>Ultrapar Participacoes S.A. (New) American Depositary Shares (Each representing one Common Share)</t>
  </si>
  <si>
    <t>UHS</t>
  </si>
  <si>
    <t>Universal Health Services Inc. Common Stock</t>
  </si>
  <si>
    <t>UHT</t>
  </si>
  <si>
    <t>Universal Health Realty Income Trust Common Stock</t>
  </si>
  <si>
    <t>UI</t>
  </si>
  <si>
    <t>Ubiquiti Inc. Common Stock</t>
  </si>
  <si>
    <t>UIS</t>
  </si>
  <si>
    <t>Unisys Corporation New Common Stock</t>
  </si>
  <si>
    <t>UL</t>
  </si>
  <si>
    <t>Unilever PLC Common Stock</t>
  </si>
  <si>
    <t>UMC</t>
  </si>
  <si>
    <t>United Microelectronics Corporation (NEW) Common Stock</t>
  </si>
  <si>
    <t>UMH</t>
  </si>
  <si>
    <t>UMH Properties Inc. Common Stock</t>
  </si>
  <si>
    <t>UMH^C</t>
  </si>
  <si>
    <t>UMH Properties Inc. 6.75% Series C Cumulative Redeemable Preferred Stock  Liquidation Preference $25 per share</t>
  </si>
  <si>
    <t>UMH^D</t>
  </si>
  <si>
    <t>UMH Properties Inc. 6.375% Series D Cumulative Redeemable Preferred Stock Liquidation Preference $25 per share</t>
  </si>
  <si>
    <t>UNF</t>
  </si>
  <si>
    <t>Unifirst Corporation Common Stock</t>
  </si>
  <si>
    <t>UNFI</t>
  </si>
  <si>
    <t>United Natural Foods Inc. Common Stock</t>
  </si>
  <si>
    <t>UNH</t>
  </si>
  <si>
    <t>UnitedHealth Group Incorporated Common Stock (DE)</t>
  </si>
  <si>
    <t>UNM</t>
  </si>
  <si>
    <t>Unum Group Common Stock</t>
  </si>
  <si>
    <t>UNMA</t>
  </si>
  <si>
    <t>Unum Group 6.250% Junior Subordinated Notes due 2058</t>
  </si>
  <si>
    <t>UNP</t>
  </si>
  <si>
    <t>Union Pacific Corporation Common Stock</t>
  </si>
  <si>
    <t>UNVR</t>
  </si>
  <si>
    <t>Univar Solutions Inc. Common Stock</t>
  </si>
  <si>
    <t>UP</t>
  </si>
  <si>
    <t>Wheels Up Experience Inc. Class A Common Stock</t>
  </si>
  <si>
    <t>UPH</t>
  </si>
  <si>
    <t>UpHealth Inc. Common Stock</t>
  </si>
  <si>
    <t>UPS</t>
  </si>
  <si>
    <t>United Parcel Service Inc. Common Stock</t>
  </si>
  <si>
    <t>URI</t>
  </si>
  <si>
    <t>United Rentals Inc. Common Stock</t>
  </si>
  <si>
    <t>USA</t>
  </si>
  <si>
    <t>Liberty All-Star Equity Fund Common Stock</t>
  </si>
  <si>
    <t>USAC</t>
  </si>
  <si>
    <t>USA Compression Partners LP Common Units Representing Limited Partner Interests</t>
  </si>
  <si>
    <t>USB</t>
  </si>
  <si>
    <t>U.S. Bancorp Common Stock</t>
  </si>
  <si>
    <t>USB^A</t>
  </si>
  <si>
    <t>U.S. Bancorp Depositary Shares Each representing a 1/100th interest in a share of Series A Non-CumulativePerpetual Pfd Stock</t>
  </si>
  <si>
    <t>USB^H</t>
  </si>
  <si>
    <t>U.S. Bancorp Depositary Shares repstg 1/1000th Pfd Ser B</t>
  </si>
  <si>
    <t>USB^M</t>
  </si>
  <si>
    <t>U.S. Bancorp Depositary Shares Representing 1/1000th Interest in a Shares Series F</t>
  </si>
  <si>
    <t>USB^P</t>
  </si>
  <si>
    <t>U.S. Bancorp Depositary Shares each representing a 1/1000th interest in a share of Series K Non-Cumulative Perpetual Preferred Stock</t>
  </si>
  <si>
    <t>USB^Q</t>
  </si>
  <si>
    <t>U.S. Bancorp Depositary Shares Each Representing a 1/1000th Interest in a Share of Series L Non-Cumulative Perpetual Preferred Stock</t>
  </si>
  <si>
    <t>USB^R</t>
  </si>
  <si>
    <t>U.S. Bancorp Depositary Shares Each Representing a 1/1000th Interest in a Share of Series M Non-Cumulative Perpetual Preferred Stock</t>
  </si>
  <si>
    <t>USDP</t>
  </si>
  <si>
    <t>USD Partners LP Common Units representing limited partner interest</t>
  </si>
  <si>
    <t>USFD</t>
  </si>
  <si>
    <t>US Foods Holding Corp. Common Stock</t>
  </si>
  <si>
    <t>USM</t>
  </si>
  <si>
    <t>United States Cellular Corporation Common Stock</t>
  </si>
  <si>
    <t>USNA</t>
  </si>
  <si>
    <t>USANA Health Sciences Inc. Common Stock</t>
  </si>
  <si>
    <t>USPH</t>
  </si>
  <si>
    <t>U.S. Physical Therapy Inc. Common Stock</t>
  </si>
  <si>
    <t>USX</t>
  </si>
  <si>
    <t>U.S. Xpress Enterprises Inc. Class A Common Stock</t>
  </si>
  <si>
    <t>UTF</t>
  </si>
  <si>
    <t>Cohen &amp; Steers Infrastructure Fund Inc Common Stock</t>
  </si>
  <si>
    <t>UTI</t>
  </si>
  <si>
    <t>Universal Technical Institute Inc Common Stock</t>
  </si>
  <si>
    <t>UTL</t>
  </si>
  <si>
    <t>UNITIL Corporation Common Stock</t>
  </si>
  <si>
    <t>UTZ</t>
  </si>
  <si>
    <t>Utz Brands Inc Class A Common Stock</t>
  </si>
  <si>
    <t>UVE</t>
  </si>
  <si>
    <t>UNIVERSAL INSURANCE HOLDINGS INC Common Stock</t>
  </si>
  <si>
    <t>UVV</t>
  </si>
  <si>
    <t>Universal Corporation Common Stock</t>
  </si>
  <si>
    <t>UWMC</t>
  </si>
  <si>
    <t>UWM Holdings Corporation Class A Common Stock</t>
  </si>
  <si>
    <t>UZA</t>
  </si>
  <si>
    <t>United States Cellular Corporation 6.95% Senior Notes due 2060</t>
  </si>
  <si>
    <t>UZD</t>
  </si>
  <si>
    <t>United States Cellular Corporation 6.250% Senior Notes due 2069</t>
  </si>
  <si>
    <t>UZE</t>
  </si>
  <si>
    <t>United States Cellular Corporation 5.500% Senior Notes due 2070</t>
  </si>
  <si>
    <t>UZF</t>
  </si>
  <si>
    <t>V</t>
  </si>
  <si>
    <t>Visa Inc.</t>
  </si>
  <si>
    <t>VAC</t>
  </si>
  <si>
    <t>Marriott Vacations Worldwide Corporation Common Stock</t>
  </si>
  <si>
    <t>VAL</t>
  </si>
  <si>
    <t>Valaris Limited Common Shares</t>
  </si>
  <si>
    <t>VALE</t>
  </si>
  <si>
    <t>VALE S.A.  American Depositary Shares Each Representing one common share</t>
  </si>
  <si>
    <t>VAPO</t>
  </si>
  <si>
    <t>Vapotherm Inc. Common Stock</t>
  </si>
  <si>
    <t>VBF</t>
  </si>
  <si>
    <t>Invesco Bond Fund Common Stock</t>
  </si>
  <si>
    <t>VCIF</t>
  </si>
  <si>
    <t>Vertical Capital Income Fund Common Shares of Beneficial Interest</t>
  </si>
  <si>
    <t>VCRA</t>
  </si>
  <si>
    <t>Vocera Communications Inc. Common Stock</t>
  </si>
  <si>
    <t>VCV</t>
  </si>
  <si>
    <t>Invesco California Value Municipal Income Trust Common Stock</t>
  </si>
  <si>
    <t>VEC</t>
  </si>
  <si>
    <t>Vectrus Inc. Common Stock</t>
  </si>
  <si>
    <t>VEDL</t>
  </si>
  <si>
    <t>Vedanta Limited  American Depositary Shares (Each representing four equity shares)</t>
  </si>
  <si>
    <t>VEEV</t>
  </si>
  <si>
    <t>Veeva Systems Inc. Class A Common Stock</t>
  </si>
  <si>
    <t>VEI</t>
  </si>
  <si>
    <t>Vine Energy Inc. Class A Common Stock</t>
  </si>
  <si>
    <t>VEL</t>
  </si>
  <si>
    <t>Velocity Financial Inc. Common Stock</t>
  </si>
  <si>
    <t>VER</t>
  </si>
  <si>
    <t>VEREIT Inc. Common Stock</t>
  </si>
  <si>
    <t>VER^F</t>
  </si>
  <si>
    <t>VEREIT Inc. 6.70% Series F Cumulative Redeemable Preferred Stock</t>
  </si>
  <si>
    <t>VET</t>
  </si>
  <si>
    <t>Vermilion Energy Inc. Common (Canada)</t>
  </si>
  <si>
    <t>VFC</t>
  </si>
  <si>
    <t>V.F. Corporation Common Stock</t>
  </si>
  <si>
    <t>VGI</t>
  </si>
  <si>
    <t>Virtus Global Multi-Sector Income Fund Common Shares of Beneficial Interest</t>
  </si>
  <si>
    <t>VGII</t>
  </si>
  <si>
    <t>Virgin Group Acquisition Corp. II Class A Ordinary Shares</t>
  </si>
  <si>
    <t>VGM</t>
  </si>
  <si>
    <t>Invesco Trust for Investment Grade Municipals Common Stock (DE)</t>
  </si>
  <si>
    <t>VGR</t>
  </si>
  <si>
    <t>Vector Group Ltd. Common Stock</t>
  </si>
  <si>
    <t>VHC</t>
  </si>
  <si>
    <t>VirnetX Holding Corp Common Stock</t>
  </si>
  <si>
    <t>VHI</t>
  </si>
  <si>
    <t>Valhi Inc. Common Stock</t>
  </si>
  <si>
    <t>VIAO</t>
  </si>
  <si>
    <t>VIA optronics AG American Depositary Shares each representing one-fifth of an Ordinary Share</t>
  </si>
  <si>
    <t>VICI</t>
  </si>
  <si>
    <t>VICI Properties Inc. Common Stock</t>
  </si>
  <si>
    <t>VIPS</t>
  </si>
  <si>
    <t>Vipshop Holdings Limited American Depositary Shares each representing two ordinary shares</t>
  </si>
  <si>
    <t>VIST</t>
  </si>
  <si>
    <t>Vista Oil &amp; Gas S.A.B. de C.V. American Depositary Shares each representing one series A share with no par value</t>
  </si>
  <si>
    <t>VIV</t>
  </si>
  <si>
    <t>Telefonica Brasil S.A. American Depositary Shares (Each representing One Common Share)</t>
  </si>
  <si>
    <t>VKQ</t>
  </si>
  <si>
    <t>Invesco Municipal Trust Common Stock</t>
  </si>
  <si>
    <t>VLO</t>
  </si>
  <si>
    <t>Valero Energy Corporation Common Stock</t>
  </si>
  <si>
    <t>VLRS</t>
  </si>
  <si>
    <t>Controladora Vuela Compania de Aviacion S.A.B. de C.V. American Depositary Shares each representing ten (10) Ordinary Participation Certificates</t>
  </si>
  <si>
    <t>VLT</t>
  </si>
  <si>
    <t>Invesco High Income Trust II</t>
  </si>
  <si>
    <t>VMC</t>
  </si>
  <si>
    <t>Vulcan Materials Company (Holding Company) Common Stock</t>
  </si>
  <si>
    <t>VMI</t>
  </si>
  <si>
    <t>Valmont Industries Inc. Common Stock</t>
  </si>
  <si>
    <t>VMO</t>
  </si>
  <si>
    <t>Invesco Municipal Opportunity Trust Common Stock</t>
  </si>
  <si>
    <t>VMW</t>
  </si>
  <si>
    <t>Vmware Inc. Common stock Class A</t>
  </si>
  <si>
    <t>VNCE</t>
  </si>
  <si>
    <t>Vince Holding Corp. Common Stock</t>
  </si>
  <si>
    <t>VNE</t>
  </si>
  <si>
    <t>Veoneer Inc. Common Stock</t>
  </si>
  <si>
    <t>VNO</t>
  </si>
  <si>
    <t>Vornado Realty Trust Common Stock</t>
  </si>
  <si>
    <t>VNO^K</t>
  </si>
  <si>
    <t>Vornado Realty Trust Pfd S K</t>
  </si>
  <si>
    <t>VNO^L</t>
  </si>
  <si>
    <t>Vornado Realty Trust Pfd Ser L %</t>
  </si>
  <si>
    <t>VNO^M</t>
  </si>
  <si>
    <t>Vornado Realty Trust 5.25% Series M Cumulative Redeemable Preferred Shares of Beneficial Interest liquidation preference $25.00 per share no par value per share</t>
  </si>
  <si>
    <t>VNO^N</t>
  </si>
  <si>
    <t>Vornado Realty Trust 5.25% Series N Cumulative Redeemable Preferred Shares of Beneficial Interest liquidation preference $25.00 per share</t>
  </si>
  <si>
    <t>VNT</t>
  </si>
  <si>
    <t>Vontier Corporation Common Stock</t>
  </si>
  <si>
    <t>VNTR</t>
  </si>
  <si>
    <t>Venator Materials PLC Ordinary Shares</t>
  </si>
  <si>
    <t>VOC</t>
  </si>
  <si>
    <t>VOC Energy Trust Units of Beneficial Interest</t>
  </si>
  <si>
    <t>VOYA</t>
  </si>
  <si>
    <t>Voya Financial Inc. Common Stock</t>
  </si>
  <si>
    <t>VOYA^B</t>
  </si>
  <si>
    <t>Voya Financial Inc. Depositary Shares each representing a 1/40th interest in a share of 5.35% Fixed-Rate Reset Non-Cumulative Preferred Stock Series B</t>
  </si>
  <si>
    <t>VPCC</t>
  </si>
  <si>
    <t>VPC Impact Acquisition Holdings III Inc. Class A Common Stock</t>
  </si>
  <si>
    <t>VPG</t>
  </si>
  <si>
    <t>Vishay Precision Group Inc. Common Stock</t>
  </si>
  <si>
    <t>VPV</t>
  </si>
  <si>
    <t>Invesco Pennsylvania Value Municipal Income Trust Common Stock (DE)</t>
  </si>
  <si>
    <t>VRS</t>
  </si>
  <si>
    <t>Verso Corporation Common Stock</t>
  </si>
  <si>
    <t>VRT</t>
  </si>
  <si>
    <t>Vertiv Holdings LLC Class A Common Stock</t>
  </si>
  <si>
    <t>VRTV</t>
  </si>
  <si>
    <t>Veritiv Corporation Common Stock</t>
  </si>
  <si>
    <t>VSCO</t>
  </si>
  <si>
    <t>Victorias Secret &amp; Co. Common Stock</t>
  </si>
  <si>
    <t>VSH</t>
  </si>
  <si>
    <t>Vishay Intertechnology Inc. Common Stock</t>
  </si>
  <si>
    <t>VST</t>
  </si>
  <si>
    <t>Vistra Corp. Common Stock</t>
  </si>
  <si>
    <t>VSTO</t>
  </si>
  <si>
    <t>Vista Outdoor Inc. Common Stock</t>
  </si>
  <si>
    <t>VTA</t>
  </si>
  <si>
    <t>Invesco Credit Opportunities Fund Common Shares of Beneficial Interest</t>
  </si>
  <si>
    <t>VTEX</t>
  </si>
  <si>
    <t>VTEX Class A Common Shares</t>
  </si>
  <si>
    <t>VTN</t>
  </si>
  <si>
    <t>Invesco Trust for Investment Grade New York Municipals Common Stock</t>
  </si>
  <si>
    <t>VTOL</t>
  </si>
  <si>
    <t>Bristow Group Inc. Common Stock</t>
  </si>
  <si>
    <t>VTR</t>
  </si>
  <si>
    <t>Ventas Inc. Common Stock</t>
  </si>
  <si>
    <t>VVI</t>
  </si>
  <si>
    <t>Viad Corp Common Stock</t>
  </si>
  <si>
    <t>VVNT</t>
  </si>
  <si>
    <t>Vivint Smart Home Inc.</t>
  </si>
  <si>
    <t>VVR</t>
  </si>
  <si>
    <t>Invesco Senior Income Trust Common Stock (DE)</t>
  </si>
  <si>
    <t>VVV</t>
  </si>
  <si>
    <t>Valvoline Inc. Common Stock</t>
  </si>
  <si>
    <t>VYGG</t>
  </si>
  <si>
    <t>Vy Global Growth Class A Ordinary Shares</t>
  </si>
  <si>
    <t>VZIO</t>
  </si>
  <si>
    <t>VIZIO Holding Corp. Class A Common Stock</t>
  </si>
  <si>
    <t>W</t>
  </si>
  <si>
    <t>Wayfair Inc. Class A Common Stock</t>
  </si>
  <si>
    <t>WAB</t>
  </si>
  <si>
    <t>Westinghouse Air Brake Technologies Corporation Common Stock</t>
  </si>
  <si>
    <t>WAL</t>
  </si>
  <si>
    <t>Western Alliance Bancorporation Common Stock (DE)</t>
  </si>
  <si>
    <t>WALA</t>
  </si>
  <si>
    <t>Western Alliance Bancorporation 6.25% Subordinated Debentures due 2056</t>
  </si>
  <si>
    <t>WARR</t>
  </si>
  <si>
    <t>Warrior Technologies Acquisition Company Class A Common Stock</t>
  </si>
  <si>
    <t>WAT</t>
  </si>
  <si>
    <t>Waters Corporation Common Stock</t>
  </si>
  <si>
    <t>WBK</t>
  </si>
  <si>
    <t>Westpac Banking Corporation Common Stock</t>
  </si>
  <si>
    <t>WBS</t>
  </si>
  <si>
    <t>Webster Financial Corporation Common Stock</t>
  </si>
  <si>
    <t>WBS^F</t>
  </si>
  <si>
    <t>Webster Financial Corporation Depositary Shares Each Representing 1/1000th Interest in a Share of 5.25% Series F Non-Cumulative Perpetual Preferred Stock</t>
  </si>
  <si>
    <t>WBT</t>
  </si>
  <si>
    <t>Welbilt Inc. Common Stock</t>
  </si>
  <si>
    <t>WCC</t>
  </si>
  <si>
    <t>WESCO International Inc. Common Stock</t>
  </si>
  <si>
    <t>WCC^A</t>
  </si>
  <si>
    <t>WESCO International Inc. Depositary Shares each representing 1/1000th interest in a share of Series A Fixed-Rate Reset Cumulative Perpetual Preferred Stock</t>
  </si>
  <si>
    <t>WCN</t>
  </si>
  <si>
    <t>Waste Connections Inc. Common Shares</t>
  </si>
  <si>
    <t>WD</t>
  </si>
  <si>
    <t>Walker &amp; Dunlop Inc Common Stock</t>
  </si>
  <si>
    <t>WDH</t>
  </si>
  <si>
    <t>Waterdrop Inc. American Depositary Shares (each representing the right to receive 10 Class A Ordinary Shares)</t>
  </si>
  <si>
    <t>WDI</t>
  </si>
  <si>
    <t>Western Asset Diversified Income Fund Common Shares of Beneficial Interest</t>
  </si>
  <si>
    <t>WEA</t>
  </si>
  <si>
    <t>Western Asset Bond Fund Share of Beneficial Interest</t>
  </si>
  <si>
    <t>WEBR</t>
  </si>
  <si>
    <t>Weber Inc. Class A Common Stock</t>
  </si>
  <si>
    <t>WEC</t>
  </si>
  <si>
    <t>WEC Energy Group Inc. Common Stock</t>
  </si>
  <si>
    <t>WEI</t>
  </si>
  <si>
    <t>Weidai Ltd. American depositary shares each  representing one (1) Class A ordinary share</t>
  </si>
  <si>
    <t>WELL</t>
  </si>
  <si>
    <t>Welltower Inc. Common Stock</t>
  </si>
  <si>
    <t>WES</t>
  </si>
  <si>
    <t>Western Midstream Partners LP Common Units Representing Limited Partner Interests</t>
  </si>
  <si>
    <t>WEX</t>
  </si>
  <si>
    <t>WEX Inc. common stock</t>
  </si>
  <si>
    <t>WF</t>
  </si>
  <si>
    <t>Woori Financial Group Inc. American Depositary Shares (each representing three (3) shares of Common Stock)</t>
  </si>
  <si>
    <t>WFC</t>
  </si>
  <si>
    <t>Wells Fargo &amp; Company Common Stock</t>
  </si>
  <si>
    <t>WFC^A</t>
  </si>
  <si>
    <t>Wells Fargo &amp; Company Depositary Shares each representing a 1/1000th interest in a share of Non-Cumulative Perpetual Class A Preferred Stock Series AA</t>
  </si>
  <si>
    <t>WFC^C</t>
  </si>
  <si>
    <t>Wells Fargo &amp; Company Depositary Shares each representing a 1/1000th interest in a share of Non-Cumulative Perpetual Class A Preferred Stock Series CC</t>
  </si>
  <si>
    <t>WFC^D</t>
  </si>
  <si>
    <t>Wells Fargo &amp; Company Depositary Shares each representing a 1/1000th interest in  a share of Non-Cumulative Perpetual Class A Preferred Stock Series DD</t>
  </si>
  <si>
    <t>WFC^L</t>
  </si>
  <si>
    <t>Wells Fargo &amp; Company Wells Fargo &amp; Company 7.50% Non-Cumulative Perpetual Convertible Class A Preferred Stock Series L</t>
  </si>
  <si>
    <t>WFC^O</t>
  </si>
  <si>
    <t>Wells Fargo &amp; Company Depositary Shares Representing 1/1000th Perpetual Preferred Class A Series O</t>
  </si>
  <si>
    <t>WFC^Q</t>
  </si>
  <si>
    <t>Wells Fargo &amp; Company Depositary Shares Representing 1/1000th Interest Perpetual Preferred Class A Series Q Fixed to Floating</t>
  </si>
  <si>
    <t>WFC^R</t>
  </si>
  <si>
    <t>Wells Fargo &amp; Company Dep Shs Repstg 1/1000th Int Perp Pfd Cl A (Ser R Fixed To Flltg)</t>
  </si>
  <si>
    <t>WFC^X</t>
  </si>
  <si>
    <t>Wells Fargo &amp; Company Depositary Shares each representing a 1/1000th interest in a share of Non-Cumulative Perpetual Class A Preferred Stock Series X</t>
  </si>
  <si>
    <t>WFC^Y</t>
  </si>
  <si>
    <t>Wells Fargo &amp; Company Depositary Shares each representing a 1/1000th interest in a share of Non-Cumulative Perpetual Class A Preferred Stock Series Y</t>
  </si>
  <si>
    <t>WFC^Z</t>
  </si>
  <si>
    <t>Wells Fargo &amp; Company Depositary Shares each representing a 1/1000th interest in a share of Non-Cumulative Perpetual Class A Preferred Stock Series Z</t>
  </si>
  <si>
    <t>WFG</t>
  </si>
  <si>
    <t>West Fraser Timber Co. Ltd Common stock</t>
  </si>
  <si>
    <t>WGO</t>
  </si>
  <si>
    <t>Winnebago Industries Inc. Common Stock</t>
  </si>
  <si>
    <t>WH</t>
  </si>
  <si>
    <t>Wyndham Hotels &amp; Resorts Inc. Common Stock</t>
  </si>
  <si>
    <t>WHD</t>
  </si>
  <si>
    <t>Cactus Inc. Class A Common Stock</t>
  </si>
  <si>
    <t>WHG</t>
  </si>
  <si>
    <t>Westwood Holdings Group Inc Common Stock</t>
  </si>
  <si>
    <t>WHR</t>
  </si>
  <si>
    <t>Whirlpool Corporation Common Stock</t>
  </si>
  <si>
    <t>WIA</t>
  </si>
  <si>
    <t>Western Asset Inflation-Linked Income Fund</t>
  </si>
  <si>
    <t>WIT</t>
  </si>
  <si>
    <t>Wipro Limited Common Stock</t>
  </si>
  <si>
    <t>WIW</t>
  </si>
  <si>
    <t>Western Asset Inflation-Linked Opportunities &amp; Income Fund</t>
  </si>
  <si>
    <t>WK</t>
  </si>
  <si>
    <t>Workiva Inc. Class A Common Stock</t>
  </si>
  <si>
    <t>WLK</t>
  </si>
  <si>
    <t>Westlake Chemical Corporation Common Stock</t>
  </si>
  <si>
    <t>WLKP</t>
  </si>
  <si>
    <t>Westlake Chemical Partners LP Common Units representing limited partner interests</t>
  </si>
  <si>
    <t>WLL</t>
  </si>
  <si>
    <t>Whiting Petroleum Corporation Common Stock (New)</t>
  </si>
  <si>
    <t>WM</t>
  </si>
  <si>
    <t>Waste Management Inc. Common Stock</t>
  </si>
  <si>
    <t>WMB</t>
  </si>
  <si>
    <t>Williams Companies Inc. (The) Common Stock</t>
  </si>
  <si>
    <t>WMC</t>
  </si>
  <si>
    <t>Western Asset Mortgage Capital Corporation Common Stock</t>
  </si>
  <si>
    <t>WMK</t>
  </si>
  <si>
    <t>Weis Markets Inc. Common Stock</t>
  </si>
  <si>
    <t>WMS</t>
  </si>
  <si>
    <t>Advanced Drainage Systems Inc. Common Stock</t>
  </si>
  <si>
    <t>WMT</t>
  </si>
  <si>
    <t>Walmart Inc. Common Stock</t>
  </si>
  <si>
    <t>WNC</t>
  </si>
  <si>
    <t>Wabash National Corporation Common Stock</t>
  </si>
  <si>
    <t>WNS</t>
  </si>
  <si>
    <t>WNS (Holdings) Limited Sponsored ADR (Jersey)</t>
  </si>
  <si>
    <t>WOR</t>
  </si>
  <si>
    <t>Worthington Industries Inc. Common Stock</t>
  </si>
  <si>
    <t>WOW</t>
  </si>
  <si>
    <t>WideOpenWest Inc. Common Stock</t>
  </si>
  <si>
    <t>WPC</t>
  </si>
  <si>
    <t>W. P. Carey Inc. REIT</t>
  </si>
  <si>
    <t>WPCA</t>
  </si>
  <si>
    <t>Warburg Pincus Capital Corporation IA Class A Ordinary Shares</t>
  </si>
  <si>
    <t>WPCB</t>
  </si>
  <si>
    <t>Warburg Pincus Capital Corporation IB Class A Ordinary Shares</t>
  </si>
  <si>
    <t>WPG</t>
  </si>
  <si>
    <t>Washington Prime Group Inc. Common Stock</t>
  </si>
  <si>
    <t>WPG^H</t>
  </si>
  <si>
    <t>Washington Prime Group Inc. 7.5% Series H Cumulative Redeemable Preferred SBI</t>
  </si>
  <si>
    <t>WPG^I</t>
  </si>
  <si>
    <t>Washington Prime Group Inc. 6.875% Series I Cumulative Redeemable Preferred SBI</t>
  </si>
  <si>
    <t>WPM</t>
  </si>
  <si>
    <t>Wheaton Precious Metals Corp Common Shares (Canada)</t>
  </si>
  <si>
    <t>WPP</t>
  </si>
  <si>
    <t>WPP plc American Depositary Shares</t>
  </si>
  <si>
    <t>WRB</t>
  </si>
  <si>
    <t>W.R. Berkley Corporation Common Stock</t>
  </si>
  <si>
    <t>WRB^E</t>
  </si>
  <si>
    <t>W.R. Berkley Corporation 5.70% Subordinated Debentures due 2058</t>
  </si>
  <si>
    <t>WRB^F</t>
  </si>
  <si>
    <t>W.R. Berkley Corporation 5.10% Subordinated Debentures due 2059</t>
  </si>
  <si>
    <t>WRB^G</t>
  </si>
  <si>
    <t>W.R. Berkley Corporation 4.25% Subordinated Debentures due 2060</t>
  </si>
  <si>
    <t>WRB^H</t>
  </si>
  <si>
    <t>W.R. Berkley Corporation 4.125% Subordinated Debentures due 2061</t>
  </si>
  <si>
    <t>WRE</t>
  </si>
  <si>
    <t>Washington Real Estate Investment Trust Common Stock</t>
  </si>
  <si>
    <t>WRK</t>
  </si>
  <si>
    <t>Westrock Company Common Stock</t>
  </si>
  <si>
    <t>WSM</t>
  </si>
  <si>
    <t>Williams-Sonoma Inc. Common Stock (DE)</t>
  </si>
  <si>
    <t>WSO</t>
  </si>
  <si>
    <t>Watsco Inc. Common Stock</t>
  </si>
  <si>
    <t>WSO/B</t>
  </si>
  <si>
    <t>Watsco Inc.</t>
  </si>
  <si>
    <t>WSR</t>
  </si>
  <si>
    <t>Whitestone REIT Common Shares</t>
  </si>
  <si>
    <t>WST</t>
  </si>
  <si>
    <t>West Pharmaceutical Services Inc. Common Stock</t>
  </si>
  <si>
    <t>WTI</t>
  </si>
  <si>
    <t>W&amp;T Offshore Inc. Common Stock</t>
  </si>
  <si>
    <t>WTM</t>
  </si>
  <si>
    <t>White Mountains Insurance Group Ltd. Common Stock</t>
  </si>
  <si>
    <t>WTRG</t>
  </si>
  <si>
    <t>Essential Utilities Inc. Common Stock</t>
  </si>
  <si>
    <t>WTRU</t>
  </si>
  <si>
    <t>Essential Utilities Inc. 6.00% TEU</t>
  </si>
  <si>
    <t>WTS</t>
  </si>
  <si>
    <t>Watts Water Technologies Inc. Class A Common Stock</t>
  </si>
  <si>
    <t>WTTR</t>
  </si>
  <si>
    <t>Select Energy Services Inc. Class A Common Stock</t>
  </si>
  <si>
    <t>WU</t>
  </si>
  <si>
    <t>Western Union Company (The) Common Stock</t>
  </si>
  <si>
    <t>WWE</t>
  </si>
  <si>
    <t>World Wrestling Entertainment Inc. Class A Common Stock</t>
  </si>
  <si>
    <t>WWW</t>
  </si>
  <si>
    <t>Wolverine World Wide Inc. Common Stock</t>
  </si>
  <si>
    <t>WY</t>
  </si>
  <si>
    <t>Weyerhaeuser Company Common Stock</t>
  </si>
  <si>
    <t>X</t>
  </si>
  <si>
    <t>United States Steel Corporation Common Stock</t>
  </si>
  <si>
    <t>XEC</t>
  </si>
  <si>
    <t>Cimarex Energy Co Common Stock</t>
  </si>
  <si>
    <t>XFLT</t>
  </si>
  <si>
    <t>XAI Octagon Floating Rate &amp; Alternative Income Term Trust Common Shares of Beneficial Interest</t>
  </si>
  <si>
    <t>XFLT^A</t>
  </si>
  <si>
    <t>XAI Octagon Floating Rate &amp; Alternative Income Term Trust 6.50% Series 2026 Term Preferred Shares (Liquidation Preference $25.00)</t>
  </si>
  <si>
    <t>XHR</t>
  </si>
  <si>
    <t>Xenia Hotels &amp; Resorts Inc. Common Stock</t>
  </si>
  <si>
    <t>XIN</t>
  </si>
  <si>
    <t>Xinyuan Real Estate Co Ltd American Depositary Shares</t>
  </si>
  <si>
    <t>XL</t>
  </si>
  <si>
    <t>XL Fleet Corp. Class A Common Stock</t>
  </si>
  <si>
    <t>XOM</t>
  </si>
  <si>
    <t>Exxon Mobil Corporation Common Stock</t>
  </si>
  <si>
    <t>XPEV</t>
  </si>
  <si>
    <t>XPeng Inc. American depositary shares each representing two Class A ordinary shares</t>
  </si>
  <si>
    <t>XPO</t>
  </si>
  <si>
    <t>XPO Logistics Inc.</t>
  </si>
  <si>
    <t>XPOA</t>
  </si>
  <si>
    <t>DPCM Capital Inc. Class A Common Stock</t>
  </si>
  <si>
    <t>XPOF</t>
  </si>
  <si>
    <t>Xponential Fitness Inc. Class A Common Stock</t>
  </si>
  <si>
    <t>XRX</t>
  </si>
  <si>
    <t>Xerox Holdings Corporation Common Stock</t>
  </si>
  <si>
    <t>XYF</t>
  </si>
  <si>
    <t>X Financial American Depositary Shares each representing six Class A Ordinary Shares</t>
  </si>
  <si>
    <t>XYL</t>
  </si>
  <si>
    <t>Xylem Inc. Common Stock New</t>
  </si>
  <si>
    <t>Y</t>
  </si>
  <si>
    <t>Alleghany Corporation Common Stock</t>
  </si>
  <si>
    <t>YAC</t>
  </si>
  <si>
    <t>Yucaipa Acquisition Corporation Class A Ordinary Shares</t>
  </si>
  <si>
    <t>YALA</t>
  </si>
  <si>
    <t>Yalla Group Limited American Depositary Shares each representing one Class A Ordinary Share</t>
  </si>
  <si>
    <t>YELP</t>
  </si>
  <si>
    <t>Yelp Inc. Common Stock</t>
  </si>
  <si>
    <t>YETI</t>
  </si>
  <si>
    <t>YETI Holdings Inc. Common Stock</t>
  </si>
  <si>
    <t>YEXT</t>
  </si>
  <si>
    <t>Yext Inc. Common Stock</t>
  </si>
  <si>
    <t>YMM</t>
  </si>
  <si>
    <t>Full Truck Alliance Co. Ltd. American Depositary Shares (each representing 20 Class A Ordinary Shares)</t>
  </si>
  <si>
    <t>YOU</t>
  </si>
  <si>
    <t>Clear Secure Inc. Class A Common Stock</t>
  </si>
  <si>
    <t>YPF</t>
  </si>
  <si>
    <t>YPF Sociedad Anonima Common Stock</t>
  </si>
  <si>
    <t>YRD</t>
  </si>
  <si>
    <t>Yiren Digital Ltd. American Depositary Shares each representing two ordinary shares</t>
  </si>
  <si>
    <t>YSG</t>
  </si>
  <si>
    <t>Yatsen Holding Limited American Depositary Shares each representing four Class A ordinary shares</t>
  </si>
  <si>
    <t>YTPG</t>
  </si>
  <si>
    <t>TPG Pace Beneficial II Corp. Class A Ordinary Shares</t>
  </si>
  <si>
    <t>YUM</t>
  </si>
  <si>
    <t>Yum! Brands Inc.</t>
  </si>
  <si>
    <t>YUMC</t>
  </si>
  <si>
    <t>Yum China Holdings Inc. Common Stock</t>
  </si>
  <si>
    <t>ZBH</t>
  </si>
  <si>
    <t>Zimmer Biomet Holdings Inc. Common Stock</t>
  </si>
  <si>
    <t>ZEN</t>
  </si>
  <si>
    <t>Zendesk Inc. Common Stock</t>
  </si>
  <si>
    <t>ZEPP</t>
  </si>
  <si>
    <t>Zepp Health Corporation American Depositary Shares</t>
  </si>
  <si>
    <t>ZETA</t>
  </si>
  <si>
    <t>Zeta Global Holdings Corp. Class A Common Stock</t>
  </si>
  <si>
    <t>ZEV</t>
  </si>
  <si>
    <t>Lightning eMotors Inc Common Stock</t>
  </si>
  <si>
    <t>ZH</t>
  </si>
  <si>
    <t>Zhihu Inc. American Depositary Shares (every two of each representing one Class A ordinary share)</t>
  </si>
  <si>
    <t>ZIM</t>
  </si>
  <si>
    <t>ZIM Integrated Shipping Services Ltd. Ordinary Shares</t>
  </si>
  <si>
    <t>ZIP</t>
  </si>
  <si>
    <t>ZipRecruiter Inc. Class A Common Stock</t>
  </si>
  <si>
    <t>ZME</t>
  </si>
  <si>
    <t>Zhangmen Education Inc. American Depositary Shares each representing nine (9) Class A ordinary shares</t>
  </si>
  <si>
    <t>ZNH</t>
  </si>
  <si>
    <t>China Southern Airlines Company Limited Common Stock</t>
  </si>
  <si>
    <t>ZTO</t>
  </si>
  <si>
    <t>ZTO Express (Cayman) Inc. American Depositary Shares each representing one Class A ordinary share.</t>
  </si>
  <si>
    <t>ZTR</t>
  </si>
  <si>
    <t>Virtus Total Return Fund Inc.</t>
  </si>
  <si>
    <t>ZTS</t>
  </si>
  <si>
    <t>Zoetis Inc. Class A Common Stock</t>
  </si>
  <si>
    <t>ZUO</t>
  </si>
  <si>
    <t>Zuora Inc. Class A Common Stock</t>
  </si>
  <si>
    <t>ZVIA</t>
  </si>
  <si>
    <t>Zevia PBC Class A Common Stock</t>
  </si>
  <si>
    <t>ZYME</t>
  </si>
  <si>
    <t>Zymeworks Inc. Common Shares</t>
  </si>
  <si>
    <t>AAMC</t>
  </si>
  <si>
    <t>Altisource Asset Management Corp Com</t>
  </si>
  <si>
    <t>AAU</t>
  </si>
  <si>
    <t>Almaden Minerals Ltd. Common Shares</t>
  </si>
  <si>
    <t>ACU</t>
  </si>
  <si>
    <t>Acme United Corporation. Common Stock</t>
  </si>
  <si>
    <t>ACY</t>
  </si>
  <si>
    <t>AeroCentury Corp. Common Stock</t>
  </si>
  <si>
    <t>ADRA</t>
  </si>
  <si>
    <t>Adara Acquisition Corp. Class A Common Stock</t>
  </si>
  <si>
    <t>AE</t>
  </si>
  <si>
    <t>Adams Resources &amp; Energy Inc. Common Stock</t>
  </si>
  <si>
    <t>AEF</t>
  </si>
  <si>
    <t>Aberdeen Emerging Markets Equity Income Fund Inc. Common Stock</t>
  </si>
  <si>
    <t>AGE</t>
  </si>
  <si>
    <t>AgeX Therapeutics Inc. Common Stock</t>
  </si>
  <si>
    <t>AIM</t>
  </si>
  <si>
    <t>AIM ImmunoTech Inc. Common Stock</t>
  </si>
  <si>
    <t>AINC</t>
  </si>
  <si>
    <t>Ashford Inc. (Holding Company) Common Stock</t>
  </si>
  <si>
    <t>AIRI</t>
  </si>
  <si>
    <t>Air Industries Group Common Stock</t>
  </si>
  <si>
    <t>AMBO</t>
  </si>
  <si>
    <t>Ambow Education Holding Ltd. American Depository Shares each representing two Class A ordinary shares</t>
  </si>
  <si>
    <t>AMPE</t>
  </si>
  <si>
    <t>Ampio Pharmaceuticals Inc.</t>
  </si>
  <si>
    <t>AMS</t>
  </si>
  <si>
    <t>American Shared Hospital Services Common Stock</t>
  </si>
  <si>
    <t>ANVS</t>
  </si>
  <si>
    <t>Annovis Bio Inc. Common Stock</t>
  </si>
  <si>
    <t>APT</t>
  </si>
  <si>
    <t>Alpha Pro Tech Ltd. Common Stock</t>
  </si>
  <si>
    <t>ARMP</t>
  </si>
  <si>
    <t>Armata Pharmaceuticals Inc. Common Stock</t>
  </si>
  <si>
    <t>ASM</t>
  </si>
  <si>
    <t>Avino Silver &amp; Gold Mines Ltd. Common Shares (Canada)</t>
  </si>
  <si>
    <t>ASXC</t>
  </si>
  <si>
    <t>Asensus Surgical Inc. Common Stock</t>
  </si>
  <si>
    <t>ATNM</t>
  </si>
  <si>
    <t>Actinium Pharmaceuticals Inc. (Delaware) Common Stock</t>
  </si>
  <si>
    <t>AUMN</t>
  </si>
  <si>
    <t>Golden Minerals Company Common Stock</t>
  </si>
  <si>
    <t>AWX</t>
  </si>
  <si>
    <t>Avalon Holdings Corporation Common Stock</t>
  </si>
  <si>
    <t>AXU</t>
  </si>
  <si>
    <t>Alexco Resource Corp Common Shares (Canada)</t>
  </si>
  <si>
    <t>BATL</t>
  </si>
  <si>
    <t>Battalion Oil Corporation Common Stock</t>
  </si>
  <si>
    <t>BCV</t>
  </si>
  <si>
    <t>Bancroft Fund Ltd.</t>
  </si>
  <si>
    <t>BCV^A</t>
  </si>
  <si>
    <t>Bancroft Fund Limited 5.375% Series A Cumulative Preferred Shares</t>
  </si>
  <si>
    <t>BDL</t>
  </si>
  <si>
    <t>Flanigan's Enterprises Inc. Common Stock</t>
  </si>
  <si>
    <t>BDR</t>
  </si>
  <si>
    <t>Blonder Tongue Laboratories Inc. Common Stock</t>
  </si>
  <si>
    <t>BGI</t>
  </si>
  <si>
    <t>Birks Group Inc. Common Stock</t>
  </si>
  <si>
    <t>BHB</t>
  </si>
  <si>
    <t>Bar Harbor Bankshares Inc. Common Stock</t>
  </si>
  <si>
    <t>BKTI</t>
  </si>
  <si>
    <t>BK Technologies Corporation Common Stock</t>
  </si>
  <si>
    <t>BMTX</t>
  </si>
  <si>
    <t>BM Technologies Inc. Common Stock</t>
  </si>
  <si>
    <t>BRBS</t>
  </si>
  <si>
    <t>Blue Ridge Bankshares Inc. Common Stock</t>
  </si>
  <si>
    <t>BRG</t>
  </si>
  <si>
    <t>Bluerock Residential Growth REIT Inc. Class A Common Stock</t>
  </si>
  <si>
    <t>BRG^C</t>
  </si>
  <si>
    <t>Bluerock Residential Growth REIT Inc. 7.625% Series C Cumulative Redeemable Preferred Stock</t>
  </si>
  <si>
    <t>BRG^D</t>
  </si>
  <si>
    <t>Bluerock Residential Growth REIT Inc. 7.125% Series D Cumulative Preferred Stock ($0.01 par value per share)</t>
  </si>
  <si>
    <t>BRN</t>
  </si>
  <si>
    <t>Barnwell Industries Inc. Common Stock</t>
  </si>
  <si>
    <t>BTG</t>
  </si>
  <si>
    <t>B2Gold Corp Common shares (Canada)</t>
  </si>
  <si>
    <t>BTN</t>
  </si>
  <si>
    <t>Ballantyne Strong Inc. Common Stock</t>
  </si>
  <si>
    <t>BTTR</t>
  </si>
  <si>
    <t>Better Choice Company Inc. Common Stock</t>
  </si>
  <si>
    <t>BTX</t>
  </si>
  <si>
    <t>Brooklyn ImmunoTherapeutics Inc. Common Stock</t>
  </si>
  <si>
    <t>BWL/A</t>
  </si>
  <si>
    <t>Bowl America Inc.</t>
  </si>
  <si>
    <t>CANF</t>
  </si>
  <si>
    <t>Can-Fite Biopharma Ltd Sponsored ADR (Israel)</t>
  </si>
  <si>
    <t>CCF</t>
  </si>
  <si>
    <t>Chase Corporation Common Stock</t>
  </si>
  <si>
    <t>CDOR</t>
  </si>
  <si>
    <t>Condor Hospitality Trust Inc. Common Stock</t>
  </si>
  <si>
    <t>CEI</t>
  </si>
  <si>
    <t>Camber Energy Inc. Common Stock</t>
  </si>
  <si>
    <t>CET</t>
  </si>
  <si>
    <t>Central Securities Corporation Common Stock</t>
  </si>
  <si>
    <t>CEV</t>
  </si>
  <si>
    <t>Eaton Vance California Municipal Income Trust Shares of Beneficial Interest</t>
  </si>
  <si>
    <t>CHAQ</t>
  </si>
  <si>
    <t>Chardan Healthcare Acquisition 2 Corp. Common Stock</t>
  </si>
  <si>
    <t>CHFW</t>
  </si>
  <si>
    <t>Consonance-HFW Acquisition Corp. Class A Ordinary Shares</t>
  </si>
  <si>
    <t>CIK</t>
  </si>
  <si>
    <t>Credit Suisse Asset Management Income Fund Inc. Common Stock</t>
  </si>
  <si>
    <t>CIX</t>
  </si>
  <si>
    <t>CompX International Inc. Common Stock</t>
  </si>
  <si>
    <t>CKX</t>
  </si>
  <si>
    <t>CKX Lands Inc. Common Stock</t>
  </si>
  <si>
    <t>CLM</t>
  </si>
  <si>
    <t>Cornerstone Strategic Value Fund Inc. New Common Stock</t>
  </si>
  <si>
    <t>CMCL</t>
  </si>
  <si>
    <t>Caledonia Mining Corporation Plc Common Shares</t>
  </si>
  <si>
    <t>CMT</t>
  </si>
  <si>
    <t>Core Molding Technologies Inc Common Stock</t>
  </si>
  <si>
    <t>COHN</t>
  </si>
  <si>
    <t>Cohen &amp; Company Inc.</t>
  </si>
  <si>
    <t>CPHI</t>
  </si>
  <si>
    <t>China Pharma Holdings Inc. Common Stock</t>
  </si>
  <si>
    <t>CQP</t>
  </si>
  <si>
    <t>Cheniere Energy Partners LP Cheniere Energy Partners LP Common Units</t>
  </si>
  <si>
    <t>CRF</t>
  </si>
  <si>
    <t>Cornerstone Total Return Fund Inc. (The) Common Stock</t>
  </si>
  <si>
    <t>CTEK</t>
  </si>
  <si>
    <t>CynergisTek Inc. Common Stock</t>
  </si>
  <si>
    <t>CVM</t>
  </si>
  <si>
    <t>Cel-Sci Corporation Common Stock</t>
  </si>
  <si>
    <t>CVR</t>
  </si>
  <si>
    <t>Chicago Rivet &amp; Machine Co. Common Stock</t>
  </si>
  <si>
    <t>CVU</t>
  </si>
  <si>
    <t>CPI Aerostructures Inc. Common Stock</t>
  </si>
  <si>
    <t>CYBN</t>
  </si>
  <si>
    <t>Cybin Inc. Common Shares</t>
  </si>
  <si>
    <t>DHY</t>
  </si>
  <si>
    <t>Credit Suisse High Yield Bond Fund Common Stock</t>
  </si>
  <si>
    <t>DIT</t>
  </si>
  <si>
    <t>AMCON Distributing Company Common Stock</t>
  </si>
  <si>
    <t>DLA</t>
  </si>
  <si>
    <t>Delta Apparel Inc. Common Stock</t>
  </si>
  <si>
    <t>DMF</t>
  </si>
  <si>
    <t>BNY Mellon Municipal Income Inc. Common Stock</t>
  </si>
  <si>
    <t>DNN</t>
  </si>
  <si>
    <t>Denison Mines Corp Ordinary Shares (Canada)</t>
  </si>
  <si>
    <t>DPW</t>
  </si>
  <si>
    <t>Ault Global Holdings Inc. Common Stock</t>
  </si>
  <si>
    <t>DSS</t>
  </si>
  <si>
    <t>Document Security Systems Inc. Common Stock</t>
  </si>
  <si>
    <t>DXF</t>
  </si>
  <si>
    <t>Dunxin Financial Holdings Limited American Depositary Shares</t>
  </si>
  <si>
    <t>DXR</t>
  </si>
  <si>
    <t>Daxor Corporation Common Stock</t>
  </si>
  <si>
    <t>EAD</t>
  </si>
  <si>
    <t>Wells Fargo Income Opportunities Fund Common Shares</t>
  </si>
  <si>
    <t>ECF</t>
  </si>
  <si>
    <t>Ellsworth Growth and Income Fund Ltd.</t>
  </si>
  <si>
    <t>ECF^A</t>
  </si>
  <si>
    <t>Ellsworth Growth and Income Fund Ltd. 5.25% Series A Cumulative Preferred Shares (Liquidation Preference $25.00 per share)</t>
  </si>
  <si>
    <t>EIM</t>
  </si>
  <si>
    <t>Eaton Vance Municipal Bond Fund Common Shares of Beneficial Interest $.01 par value</t>
  </si>
  <si>
    <t>ELA</t>
  </si>
  <si>
    <t>Envela Corporation Common Stock</t>
  </si>
  <si>
    <t>ELLO</t>
  </si>
  <si>
    <t>Ellomay Capital Ltd Ordinary Shares (Israel)</t>
  </si>
  <si>
    <t>ELMD</t>
  </si>
  <si>
    <t>Electromed Inc. Common Stock</t>
  </si>
  <si>
    <t>EMAN</t>
  </si>
  <si>
    <t>eMagin Corporation Common Stock</t>
  </si>
  <si>
    <t>EMX</t>
  </si>
  <si>
    <t>EMX Royalty Corporation Common Shares (Canada)</t>
  </si>
  <si>
    <t>ENSV</t>
  </si>
  <si>
    <t>Enservco Corporation Common Stock</t>
  </si>
  <si>
    <t>ENX</t>
  </si>
  <si>
    <t>Eaton Vance New York Municipal Bond Fund Common Shares of Beneficial Interest $.01 par value</t>
  </si>
  <si>
    <t>EPM</t>
  </si>
  <si>
    <t>Evolution Petroleum Corporation Inc. Common Stock</t>
  </si>
  <si>
    <t>EQX</t>
  </si>
  <si>
    <t>Equinox Gold Corp. Common Shares</t>
  </si>
  <si>
    <t>ERC</t>
  </si>
  <si>
    <t>Wells Fargo Multi-Sector Income Fund Common Stock no par value</t>
  </si>
  <si>
    <t>ERH</t>
  </si>
  <si>
    <t>Wells Fargo Utilities and High Income Fund</t>
  </si>
  <si>
    <t>ESP</t>
  </si>
  <si>
    <t>Espey Mfg. &amp; Electronics Corp. Common Stock</t>
  </si>
  <si>
    <t>EVBN</t>
  </si>
  <si>
    <t>Evans Bancorp Inc. Common Stock</t>
  </si>
  <si>
    <t>EVI</t>
  </si>
  <si>
    <t>EVI Industries Inc.  Common Stock</t>
  </si>
  <si>
    <t>EVM</t>
  </si>
  <si>
    <t>Eaton Vance California Municipal Bond Fund Common Shares of Beneficial Interest $.01 par value</t>
  </si>
  <si>
    <t>EVV</t>
  </si>
  <si>
    <t>Eaton Vance Limited Duration Income Fund Common Shares of Beneficial Interest</t>
  </si>
  <si>
    <t>EVY</t>
  </si>
  <si>
    <t>Eaton Vance New York Municipal Income Trust Shares of Beneficial Interest</t>
  </si>
  <si>
    <t>EXN</t>
  </si>
  <si>
    <t>Excellon Resources Inc. Common Shares</t>
  </si>
  <si>
    <t>FAX</t>
  </si>
  <si>
    <t>Aberdeen Asia-Pacific Income Fund Inc Common Stock</t>
  </si>
  <si>
    <t>FCO</t>
  </si>
  <si>
    <t>Aberdeen Global Income Fund Inc. Common Stock</t>
  </si>
  <si>
    <t>FEN</t>
  </si>
  <si>
    <t>First Trust Energy Income and Growth Fund</t>
  </si>
  <si>
    <t>FRD</t>
  </si>
  <si>
    <t>Friedman Industries Inc. Common Stock</t>
  </si>
  <si>
    <t>FSI</t>
  </si>
  <si>
    <t>Flexible Solutions International Inc. Common Stock (CDA)</t>
  </si>
  <si>
    <t>FSP</t>
  </si>
  <si>
    <t>Franklin Street Properties Corp. Common Stock</t>
  </si>
  <si>
    <t>FTF</t>
  </si>
  <si>
    <t>Franklin Limited Duration Income Trust Common Shares of Beneficial Interest</t>
  </si>
  <si>
    <t>FTSI</t>
  </si>
  <si>
    <t>FTS International Inc. Class A Common Stock</t>
  </si>
  <si>
    <t>FURY</t>
  </si>
  <si>
    <t>Fury Gold Mines Limited Common Shares</t>
  </si>
  <si>
    <t>GAU</t>
  </si>
  <si>
    <t>Galiano Gold Inc.</t>
  </si>
  <si>
    <t>GBR</t>
  </si>
  <si>
    <t>New Concept Energy Inc Common Stock</t>
  </si>
  <si>
    <t>GDP</t>
  </si>
  <si>
    <t>Goodrich Petroleum Corporation Common Stock</t>
  </si>
  <si>
    <t>GGN</t>
  </si>
  <si>
    <t>GAMCO Global Gold Natural Resources &amp; Income Trust</t>
  </si>
  <si>
    <t>GGN^B</t>
  </si>
  <si>
    <t>GAMCO Global Gold Natural Reources &amp; Income Trust 5.00% Series B Cumulative 25.00 Liquidation Preference</t>
  </si>
  <si>
    <t>GGO^A</t>
  </si>
  <si>
    <t>The Gabelli Go Anywhere Trust Series A Cumulative Puttable and Callable Preferred Shares</t>
  </si>
  <si>
    <t>GLDG</t>
  </si>
  <si>
    <t>GoldMining Inc. Common Shares</t>
  </si>
  <si>
    <t>GLO</t>
  </si>
  <si>
    <t>Clough Global Opportunities Fund Common Stock</t>
  </si>
  <si>
    <t>GLQ</t>
  </si>
  <si>
    <t>Clough Global Equity Fund Clough Global Equity Fund Common Shares of Beneficial Interest</t>
  </si>
  <si>
    <t>GLU</t>
  </si>
  <si>
    <t>Gabelli Global Utility Common Shares of Beneficial Ownership</t>
  </si>
  <si>
    <t>GLU^B</t>
  </si>
  <si>
    <t>The Gabelli Global Utility and Income Trust Series B Cumulative Puttable and Callable Preferred Shares</t>
  </si>
  <si>
    <t>GLV</t>
  </si>
  <si>
    <t>Clough Global Dividend and Income Fund Common Shares of beneficial interest</t>
  </si>
  <si>
    <t>GOED</t>
  </si>
  <si>
    <t>1847 Goedeker Inc. Commom Stock</t>
  </si>
  <si>
    <t>GORO</t>
  </si>
  <si>
    <t>Gold Resource Corporation Common Stock</t>
  </si>
  <si>
    <t>GPL</t>
  </si>
  <si>
    <t>Great Panther Mining Limited Ordinary Shares (Canada)</t>
  </si>
  <si>
    <t>GRF</t>
  </si>
  <si>
    <t>Eagle Capital Growth Fund Inc. Common Stock</t>
  </si>
  <si>
    <t>GROY</t>
  </si>
  <si>
    <t>Gold Royalty Corp. Common Shares</t>
  </si>
  <si>
    <t>GSAT</t>
  </si>
  <si>
    <t>Globalstar Inc. Common Stock</t>
  </si>
  <si>
    <t>GSS</t>
  </si>
  <si>
    <t>Golden Star Resources Ltd Common Stock</t>
  </si>
  <si>
    <t>GSV</t>
  </si>
  <si>
    <t>Gold Standard Ventures Corporation Common Stock (Canada)</t>
  </si>
  <si>
    <t>GTE</t>
  </si>
  <si>
    <t>Gran Tierra Energy Inc. Common Stock</t>
  </si>
  <si>
    <t>HLM^</t>
  </si>
  <si>
    <t>Hillman Group Capital Trust Preferred Stock</t>
  </si>
  <si>
    <t>HMG</t>
  </si>
  <si>
    <t>HMG/Courtland Properties Inc. Common Stock</t>
  </si>
  <si>
    <t>HNW</t>
  </si>
  <si>
    <t>Pioneer Diversified High Income Fund Inc.</t>
  </si>
  <si>
    <t>HUSA</t>
  </si>
  <si>
    <t>Houston American Energy Corporation Common Stock</t>
  </si>
  <si>
    <t>HWM^</t>
  </si>
  <si>
    <t>Howmet Aerospace Inc. $3.75 Preferred Stock</t>
  </si>
  <si>
    <t>IAF</t>
  </si>
  <si>
    <t>Aberdeen Australia Equity Fund Inc Common Stock</t>
  </si>
  <si>
    <t>IBIO</t>
  </si>
  <si>
    <t>iBio Inc. Common Stock</t>
  </si>
  <si>
    <t>ID</t>
  </si>
  <si>
    <t>PARTS iD Inc. Class A Common Stock</t>
  </si>
  <si>
    <t>IDW</t>
  </si>
  <si>
    <t>IDW Media Holdings Class B Common Stock</t>
  </si>
  <si>
    <t>IGC</t>
  </si>
  <si>
    <t>India Globalization Capital Inc. Common Stock</t>
  </si>
  <si>
    <t>IHT</t>
  </si>
  <si>
    <t>InnSuites Hospitality Trust Shares of Beneficial Interest</t>
  </si>
  <si>
    <t>IMH</t>
  </si>
  <si>
    <t>Impac Mortgage Holdings Inc. Common Stock</t>
  </si>
  <si>
    <t>IMO</t>
  </si>
  <si>
    <t>Imperial Oil Limited Common Stock</t>
  </si>
  <si>
    <t>INDO</t>
  </si>
  <si>
    <t>Indonesia Energy Corporation Limited Ordinary Shares</t>
  </si>
  <si>
    <t>INFU</t>
  </si>
  <si>
    <t>InfuSystems Holdings Inc. Common Stock</t>
  </si>
  <si>
    <t>INTT</t>
  </si>
  <si>
    <t>inTest Corporation Common Stock</t>
  </si>
  <si>
    <t>INUV</t>
  </si>
  <si>
    <t>Inuvo Inc.</t>
  </si>
  <si>
    <t>IOR</t>
  </si>
  <si>
    <t>Income Opportunity Realty Investors Inc. Common Stock</t>
  </si>
  <si>
    <t>ISDR</t>
  </si>
  <si>
    <t>Issuer Direct Corporation Common Stock</t>
  </si>
  <si>
    <t>ISR</t>
  </si>
  <si>
    <t>IsoRay Inc. Common Stock (DE)</t>
  </si>
  <si>
    <t>ITP</t>
  </si>
  <si>
    <t>IT Tech Packaging Inc. Common Stock</t>
  </si>
  <si>
    <t>ITRG</t>
  </si>
  <si>
    <t>Integra Resources Corp. Common Shares</t>
  </si>
  <si>
    <t>JOB</t>
  </si>
  <si>
    <t>GEE Group Inc. Common Stock</t>
  </si>
  <si>
    <t>KIQ</t>
  </si>
  <si>
    <t>Kelso Technologies Inc Ordinary Shares</t>
  </si>
  <si>
    <t>KLR</t>
  </si>
  <si>
    <t>Kaleyra Inc. Common Stock</t>
  </si>
  <si>
    <t>KULR</t>
  </si>
  <si>
    <t>KULR Technology Group Inc. Common Stock</t>
  </si>
  <si>
    <t>LCTX</t>
  </si>
  <si>
    <t>Lineage Cell Therapeutics Inc. Common Stock</t>
  </si>
  <si>
    <t>LEU</t>
  </si>
  <si>
    <t>Centrus Energy Corp. Class A Common Stock</t>
  </si>
  <si>
    <t>LGL</t>
  </si>
  <si>
    <t>LGL Group Inc. (The) Common Stock</t>
  </si>
  <si>
    <t>LNG</t>
  </si>
  <si>
    <t>Cheniere Energy Inc. Common Stock</t>
  </si>
  <si>
    <t>LODE</t>
  </si>
  <si>
    <t>Comstock Mining Inc. Common Stock</t>
  </si>
  <si>
    <t>LOV</t>
  </si>
  <si>
    <t>Spark Networks Inc. American Depositary Shares (each representing one-tenth of an Ordinary Share)</t>
  </si>
  <si>
    <t>LSF</t>
  </si>
  <si>
    <t>Laird Superfood Inc. Common Stock</t>
  </si>
  <si>
    <t>LXFR</t>
  </si>
  <si>
    <t>Luxfer Holdings PLC Ordinary Shares</t>
  </si>
  <si>
    <t>MAG</t>
  </si>
  <si>
    <t>MAG Silver Corporation Ordinary Shares</t>
  </si>
  <si>
    <t>MCF</t>
  </si>
  <si>
    <t>Contango Oil &amp; Gas Company Common Stock (TX)</t>
  </si>
  <si>
    <t>MHH</t>
  </si>
  <si>
    <t>Mastech Digital Inc Common Stock</t>
  </si>
  <si>
    <t>MITQ</t>
  </si>
  <si>
    <t>Moving iMage Technologies Inc. Common Stock</t>
  </si>
  <si>
    <t>MLSS</t>
  </si>
  <si>
    <t>Milestone Scientific Inc. Common Stock</t>
  </si>
  <si>
    <t>MMX</t>
  </si>
  <si>
    <t>Maverix Metals Inc. Common Shares</t>
  </si>
  <si>
    <t>MSN</t>
  </si>
  <si>
    <t>Emerson Radio Corporation Common Stock</t>
  </si>
  <si>
    <t>MTA</t>
  </si>
  <si>
    <t>Metalla Royalty &amp; Streaming Ltd. Common Shares</t>
  </si>
  <si>
    <t>MTNB</t>
  </si>
  <si>
    <t>Matinas Biopharma Holdings Inc. Common Stock</t>
  </si>
  <si>
    <t>MXC</t>
  </si>
  <si>
    <t>Mexco Energy Corporation Common Stock</t>
  </si>
  <si>
    <t>MYO</t>
  </si>
  <si>
    <t>Myomo Inc. Common Stock</t>
  </si>
  <si>
    <t>NAK</t>
  </si>
  <si>
    <t>Northern Dynasty Minerals Ltd. Common Stock</t>
  </si>
  <si>
    <t>NAVB</t>
  </si>
  <si>
    <t>Navidea Biopharmaceuticals Inc. Common Stock</t>
  </si>
  <si>
    <t>NBA</t>
  </si>
  <si>
    <t>New Beginnings Acquisition Corp. Common Stock</t>
  </si>
  <si>
    <t>NBH</t>
  </si>
  <si>
    <t>Neuberger Berman Municipal Fund Inc. Common Stock</t>
  </si>
  <si>
    <t>NBO</t>
  </si>
  <si>
    <t>Neuberger Berman New York Municipal Fund Inc. Common Stock</t>
  </si>
  <si>
    <t>NBW</t>
  </si>
  <si>
    <t>Neuberger Berman California Municipal Fund Inc Common Stock</t>
  </si>
  <si>
    <t>NBY</t>
  </si>
  <si>
    <t>NovaBay Pharmaceuticals Inc. Common Stock</t>
  </si>
  <si>
    <t>NEN</t>
  </si>
  <si>
    <t>New England Realty Associates Limited Partnership Class A Depositary Receipts Evidencing Units of Limited Partnership</t>
  </si>
  <si>
    <t>NES</t>
  </si>
  <si>
    <t>Nuverra Environmental Solutions Inc. Common Stock</t>
  </si>
  <si>
    <t>NEWP</t>
  </si>
  <si>
    <t>New Pacific Metals Corp. Common Shares</t>
  </si>
  <si>
    <t>NG</t>
  </si>
  <si>
    <t>Novagold Resources Inc.</t>
  </si>
  <si>
    <t>NGD</t>
  </si>
  <si>
    <t>New Gold Inc.</t>
  </si>
  <si>
    <t>NHC</t>
  </si>
  <si>
    <t>National HealthCare Corporation Common Stock</t>
  </si>
  <si>
    <t>NHS</t>
  </si>
  <si>
    <t>Neuberger Berman High Yield Strategies Fund</t>
  </si>
  <si>
    <t>NML</t>
  </si>
  <si>
    <t>Neuberger Berman MLP and Energy Income Fund Inc. Common Stock</t>
  </si>
  <si>
    <t>NNVC</t>
  </si>
  <si>
    <t>NanoViricides Inc. Common Stock</t>
  </si>
  <si>
    <t>NOG</t>
  </si>
  <si>
    <t>Northern Oil and Gas Inc. Common Stock</t>
  </si>
  <si>
    <t>NRO</t>
  </si>
  <si>
    <t>Neuberger Berman Real Estate Securities Income Fund Inc. Neuberger Berman Real Estate Securities Income Fund Inc.</t>
  </si>
  <si>
    <t>NTIP</t>
  </si>
  <si>
    <t>Network-1 Technologies Inc. Common Stock</t>
  </si>
  <si>
    <t>NXE</t>
  </si>
  <si>
    <t>Nexgen Energy Ltd. Common Shares</t>
  </si>
  <si>
    <t>OGEN</t>
  </si>
  <si>
    <t>Oragenics Inc. Common Stock</t>
  </si>
  <si>
    <t>OPTT</t>
  </si>
  <si>
    <t>Ocean Power Technologies Inc. Common Stock</t>
  </si>
  <si>
    <t>ORLA</t>
  </si>
  <si>
    <t>Orla Mining Ltd. Common Shares</t>
  </si>
  <si>
    <t>PCG^A</t>
  </si>
  <si>
    <t>Pacific Gas &amp; Electric Co. 6% Preferred Stock</t>
  </si>
  <si>
    <t>PCG^B</t>
  </si>
  <si>
    <t>Pacific Gas &amp; Electric Co. 5 1/2% Preferred Stock</t>
  </si>
  <si>
    <t>PCG^D</t>
  </si>
  <si>
    <t>Pacific Gas &amp; Electric Co. 5% 1st  Red. Preferred Stock</t>
  </si>
  <si>
    <t>PCG^E</t>
  </si>
  <si>
    <t>Pacific Gas &amp; Electric Co. 5% 1st A Preferred Stock</t>
  </si>
  <si>
    <t>PCG^H</t>
  </si>
  <si>
    <t>Pacific Gas &amp; Electric Co. 4.50% 1st Preferred Stock</t>
  </si>
  <si>
    <t>PCG^I</t>
  </si>
  <si>
    <t>Pacific Gas &amp; Electric Co. 4.36% 1st Preferred Stock</t>
  </si>
  <si>
    <t>PED</t>
  </si>
  <si>
    <t>Pedevco Corp. Common Stock</t>
  </si>
  <si>
    <t>PHGE</t>
  </si>
  <si>
    <t>BiomX Inc. COmmon Stock</t>
  </si>
  <si>
    <t>PLAG</t>
  </si>
  <si>
    <t>Planet Green Holdings Corp. Common Stock</t>
  </si>
  <si>
    <t>PLG</t>
  </si>
  <si>
    <t>Platinum Group Metals Ltd. Ordinary Shares (Canada)</t>
  </si>
  <si>
    <t>PLM</t>
  </si>
  <si>
    <t>Polymet Mining Corporation Ordinary Shares (Canada)</t>
  </si>
  <si>
    <t>PLX</t>
  </si>
  <si>
    <t>Protalix BioTherapeutics Inc. (DE) Common Stock</t>
  </si>
  <si>
    <t>PLYM^A</t>
  </si>
  <si>
    <t>Plymouth Industrial REIT Inc. 7.50% Series A Cumulative Redeemable Preferred Stock</t>
  </si>
  <si>
    <t>PRK</t>
  </si>
  <si>
    <t>Park National Corporation Common Stock</t>
  </si>
  <si>
    <t>PTK</t>
  </si>
  <si>
    <t>PTK Acquisition Corp. Common Stock</t>
  </si>
  <si>
    <t>PTN</t>
  </si>
  <si>
    <t>Palatin Technologies Inc. Common Stock</t>
  </si>
  <si>
    <t>PW</t>
  </si>
  <si>
    <t>Power REIT (MD) Common Stock</t>
  </si>
  <si>
    <t>PZG</t>
  </si>
  <si>
    <t>Paramount Gold Nevada Corp. Common Stock</t>
  </si>
  <si>
    <t>RCG</t>
  </si>
  <si>
    <t>RENN Fund Inc Common Stock</t>
  </si>
  <si>
    <t>REI</t>
  </si>
  <si>
    <t>Ring Energy Inc. Common Stock</t>
  </si>
  <si>
    <t>REPX</t>
  </si>
  <si>
    <t>Riley Exploration Permian Inc. Common Stock</t>
  </si>
  <si>
    <t>RHE</t>
  </si>
  <si>
    <t>Regional Health Properties Inc. Common Stock</t>
  </si>
  <si>
    <t>RHE^A</t>
  </si>
  <si>
    <t>Regional Health Properties Inc. 10.875% Series A Cumulative Redeemable Preferred Stock</t>
  </si>
  <si>
    <t>RLGT</t>
  </si>
  <si>
    <t>Radiant Logistics Inc. Common Stock</t>
  </si>
  <si>
    <t>RMED</t>
  </si>
  <si>
    <t>Ra Medical Systems Inc. Common Stock</t>
  </si>
  <si>
    <t>RVP</t>
  </si>
  <si>
    <t>Retractable Technologies Inc. Common Stock</t>
  </si>
  <si>
    <t>SACC</t>
  </si>
  <si>
    <t>Sachem Capital Corp. 6.875% Notes due 2024</t>
  </si>
  <si>
    <t>SACH</t>
  </si>
  <si>
    <t>Sachem Capital Corp. Common Shares</t>
  </si>
  <si>
    <t>SACH^A</t>
  </si>
  <si>
    <t>Sachem Capital Corp. 7.75% Series A Cumulative Redeemable Preferred Stock</t>
  </si>
  <si>
    <t>SBEV</t>
  </si>
  <si>
    <t>Splash Beverage Group Inc. Common Stock</t>
  </si>
  <si>
    <t>SCCB</t>
  </si>
  <si>
    <t>Sachem Capital Corp. 7.125% Notes due 2024</t>
  </si>
  <si>
    <t>SCCC</t>
  </si>
  <si>
    <t>Sachem Capital Corp. 7.75% Notes due 2025</t>
  </si>
  <si>
    <t>SDPI</t>
  </si>
  <si>
    <t>Superior Drilling Products Inc. Common Stock</t>
  </si>
  <si>
    <t>SEB</t>
  </si>
  <si>
    <t>Seaboard Corporation Common Stock</t>
  </si>
  <si>
    <t>SENS</t>
  </si>
  <si>
    <t>Senseonics Holdings Inc. Common Stock</t>
  </si>
  <si>
    <t>SIF</t>
  </si>
  <si>
    <t>SIFCO Industries Inc. Common Stock</t>
  </si>
  <si>
    <t>SILV</t>
  </si>
  <si>
    <t>SilverCrest Metals Inc. Common Shares</t>
  </si>
  <si>
    <t>SIM</t>
  </si>
  <si>
    <t>Grupo Simec S.A.B. de C.V. American Depositary Shares</t>
  </si>
  <si>
    <t>SLI</t>
  </si>
  <si>
    <t>Standard Lithium Ltd. Common Shares</t>
  </si>
  <si>
    <t>SMTS</t>
  </si>
  <si>
    <t>Sierra Metals Inc. Common Stock</t>
  </si>
  <si>
    <t>SNMP</t>
  </si>
  <si>
    <t>Evolve Transition Infrastructure LP Common Stock</t>
  </si>
  <si>
    <t>SSY</t>
  </si>
  <si>
    <t>SunLink Health Systems Inc. Common Stock</t>
  </si>
  <si>
    <t>STXS</t>
  </si>
  <si>
    <t>Stereotaxis Inc. Common Stock</t>
  </si>
  <si>
    <t>SVM</t>
  </si>
  <si>
    <t>Silvercorp Metals Inc. Common Shares</t>
  </si>
  <si>
    <t>SVT</t>
  </si>
  <si>
    <t>Servotronics Inc. Common Stock</t>
  </si>
  <si>
    <t>SYN</t>
  </si>
  <si>
    <t>Synthetic Biologics Inc. Common Stock</t>
  </si>
  <si>
    <t>TGB</t>
  </si>
  <si>
    <t>Taseko Mines Ltd. Common Stock</t>
  </si>
  <si>
    <t>THM</t>
  </si>
  <si>
    <t>International Tower Hill Mines Ltd. Ordinary Shares (Canada)</t>
  </si>
  <si>
    <t>TKAT</t>
  </si>
  <si>
    <t>Takung Art Co. Ltd. Common Stock</t>
  </si>
  <si>
    <t>TMBR</t>
  </si>
  <si>
    <t>Timber Pharmaceuticals Inc. Common Stock</t>
  </si>
  <si>
    <t>TMP</t>
  </si>
  <si>
    <t>Tompkins Financial Corporation Common Stock</t>
  </si>
  <si>
    <t>TMQ</t>
  </si>
  <si>
    <t>Trilogy Metals Inc. Common Stock</t>
  </si>
  <si>
    <t>TPHS</t>
  </si>
  <si>
    <t>Trinity Place Holdings Inc. Common Stock</t>
  </si>
  <si>
    <t>TRT</t>
  </si>
  <si>
    <t>Trio-Tech International Common Stock</t>
  </si>
  <si>
    <t>TRX</t>
  </si>
  <si>
    <t>Tanzanian Gold Corporation Common Stock</t>
  </si>
  <si>
    <t>UAMY</t>
  </si>
  <si>
    <t>United States Antimony Corporation Common Stock</t>
  </si>
  <si>
    <t>UAVS</t>
  </si>
  <si>
    <t>AgEagle Aerial Systems Inc. Common Stock</t>
  </si>
  <si>
    <t>UEC</t>
  </si>
  <si>
    <t>Uranium Energy Corp. Common Stock</t>
  </si>
  <si>
    <t>UFAB</t>
  </si>
  <si>
    <t>Unique Fabricating Inc. Common Stock</t>
  </si>
  <si>
    <t>URG</t>
  </si>
  <si>
    <t>Ur Energy Inc Common Shares (Canada)</t>
  </si>
  <si>
    <t>USAS</t>
  </si>
  <si>
    <t>Americas Gold and Silver Corporation Common Shares no par value</t>
  </si>
  <si>
    <t>UTG</t>
  </si>
  <si>
    <t>Reaves Utility Income Fund Common Shares of Beneficial Interest</t>
  </si>
  <si>
    <t>UUU</t>
  </si>
  <si>
    <t>Universal Security Instruments Inc. Common Stock</t>
  </si>
  <si>
    <t>UUUU</t>
  </si>
  <si>
    <t>Energy Fuels Inc Ordinary Shares (Canada)</t>
  </si>
  <si>
    <t>VCF</t>
  </si>
  <si>
    <t>Delaware Investments Colorado Municipal Income Fund Inc  Common Stock</t>
  </si>
  <si>
    <t>VFL</t>
  </si>
  <si>
    <t>Delaware Investments National Municipal Income Fund Common Stock</t>
  </si>
  <si>
    <t>VGZ</t>
  </si>
  <si>
    <t>Vista Gold Corp Common Stock</t>
  </si>
  <si>
    <t>VHAQ</t>
  </si>
  <si>
    <t>Viveon Health Acquisition Corp. Common Stock</t>
  </si>
  <si>
    <t>VKI</t>
  </si>
  <si>
    <t>Invesco Advantage Municipal Income Trust II Common Shares of Beneficial Interest (DE)</t>
  </si>
  <si>
    <t>VMM</t>
  </si>
  <si>
    <t>Delaware Investments Minnesota Municipal Income Fund II Inc. Common Stock</t>
  </si>
  <si>
    <t>VNRX</t>
  </si>
  <si>
    <t>VolitionRX Limited Common Stock</t>
  </si>
  <si>
    <t>VOLT</t>
  </si>
  <si>
    <t>Volt Information Sciences Inc. Common Stock</t>
  </si>
  <si>
    <t>WLMS</t>
  </si>
  <si>
    <t>Williams Industrial Services Group Inc. Common Stock</t>
  </si>
  <si>
    <t>WRN</t>
  </si>
  <si>
    <t>Western Copper and Gold Corporation Common Stock</t>
  </si>
  <si>
    <t>WTT</t>
  </si>
  <si>
    <t>Wireless Telecom Group  Inc. Common Stock</t>
  </si>
  <si>
    <t>WWR</t>
  </si>
  <si>
    <t>Westwater Resources Inc. Common Stock</t>
  </si>
  <si>
    <t>WYY</t>
  </si>
  <si>
    <t>WidePoint Corporation Common Stock</t>
  </si>
  <si>
    <t>XPL</t>
  </si>
  <si>
    <t>Solitario Zinc Corp. Common Stock</t>
  </si>
  <si>
    <t>XTNT</t>
  </si>
  <si>
    <t>Xtant Medical Holdings Inc. Common Stock</t>
  </si>
  <si>
    <t>XXII</t>
  </si>
  <si>
    <t>22nd Century Group Inc. Common Stock</t>
  </si>
  <si>
    <t>YCBD</t>
  </si>
  <si>
    <t>cbdMD Inc. Common Stock</t>
  </si>
  <si>
    <t>YCBD^A</t>
  </si>
  <si>
    <t>cbdMD Inc. 8.0% Series A Cumulative Convertible Preferred Stock</t>
  </si>
  <si>
    <t>ZDGE</t>
  </si>
  <si>
    <t>Zedge Inc. Class B Common Stock</t>
  </si>
  <si>
    <t>ZOM</t>
  </si>
  <si>
    <t>Zomedica Corp. Common Shares</t>
  </si>
  <si>
    <t>CRHM</t>
  </si>
  <si>
    <t>Amex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</si>
</sst>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IFERROR(__xludf.DUMMYFUNCTION("filter('NASDAQ (raw)'!A:A,REGEXMATCH('NASDAQ (raw)'!A:A,""[\^/^.]"")=false, ISERROR(MATCH('NASDAQ (raw)'!A:A,Invalid!A:A,0)))"),"AACG")</f>
        <v>AACG</v>
      </c>
    </row>
    <row r="2">
      <c r="A2" s="1" t="str">
        <f>IFERROR(__xludf.DUMMYFUNCTION("""COMPUTED_VALUE"""),"AAL")</f>
        <v>AAL</v>
      </c>
    </row>
    <row r="3">
      <c r="A3" s="1" t="str">
        <f>IFERROR(__xludf.DUMMYFUNCTION("""COMPUTED_VALUE"""),"AAME")</f>
        <v>AAME</v>
      </c>
    </row>
    <row r="4">
      <c r="A4" s="1" t="str">
        <f>IFERROR(__xludf.DUMMYFUNCTION("""COMPUTED_VALUE"""),"AAOI")</f>
        <v>AAOI</v>
      </c>
    </row>
    <row r="5">
      <c r="A5" s="1" t="str">
        <f>IFERROR(__xludf.DUMMYFUNCTION("""COMPUTED_VALUE"""),"AAON")</f>
        <v>AAON</v>
      </c>
    </row>
    <row r="6">
      <c r="A6" s="1" t="str">
        <f>IFERROR(__xludf.DUMMYFUNCTION("""COMPUTED_VALUE"""),"AAPL")</f>
        <v>AAPL</v>
      </c>
    </row>
    <row r="7">
      <c r="A7" s="1" t="str">
        <f>IFERROR(__xludf.DUMMYFUNCTION("""COMPUTED_VALUE"""),"AATC")</f>
        <v>AATC</v>
      </c>
    </row>
    <row r="8">
      <c r="A8" s="1" t="str">
        <f>IFERROR(__xludf.DUMMYFUNCTION("""COMPUTED_VALUE"""),"AAWW")</f>
        <v>AAWW</v>
      </c>
    </row>
    <row r="9">
      <c r="A9" s="1" t="str">
        <f>IFERROR(__xludf.DUMMYFUNCTION("""COMPUTED_VALUE"""),"ABCB")</f>
        <v>ABCB</v>
      </c>
    </row>
    <row r="10">
      <c r="A10" s="1" t="str">
        <f>IFERROR(__xludf.DUMMYFUNCTION("""COMPUTED_VALUE"""),"ABCL")</f>
        <v>ABCL</v>
      </c>
    </row>
    <row r="11">
      <c r="A11" s="1" t="str">
        <f>IFERROR(__xludf.DUMMYFUNCTION("""COMPUTED_VALUE"""),"ABCM")</f>
        <v>ABCM</v>
      </c>
    </row>
    <row r="12">
      <c r="A12" s="1" t="str">
        <f>IFERROR(__xludf.DUMMYFUNCTION("""COMPUTED_VALUE"""),"ABEO")</f>
        <v>ABEO</v>
      </c>
    </row>
    <row r="13">
      <c r="A13" s="1" t="str">
        <f>IFERROR(__xludf.DUMMYFUNCTION("""COMPUTED_VALUE"""),"ABGI")</f>
        <v>ABGI</v>
      </c>
    </row>
    <row r="14">
      <c r="A14" s="1" t="str">
        <f>IFERROR(__xludf.DUMMYFUNCTION("""COMPUTED_VALUE"""),"ABIO")</f>
        <v>ABIO</v>
      </c>
    </row>
    <row r="15">
      <c r="A15" s="1" t="str">
        <f>IFERROR(__xludf.DUMMYFUNCTION("""COMPUTED_VALUE"""),"ABMD")</f>
        <v>ABMD</v>
      </c>
    </row>
    <row r="16">
      <c r="A16" s="1" t="str">
        <f>IFERROR(__xludf.DUMMYFUNCTION("""COMPUTED_VALUE"""),"ABNB")</f>
        <v>ABNB</v>
      </c>
    </row>
    <row r="17">
      <c r="A17" s="1" t="str">
        <f>IFERROR(__xludf.DUMMYFUNCTION("""COMPUTED_VALUE"""),"ABOS")</f>
        <v>ABOS</v>
      </c>
    </row>
    <row r="18">
      <c r="A18" s="1" t="str">
        <f>IFERROR(__xludf.DUMMYFUNCTION("""COMPUTED_VALUE"""),"ABSI")</f>
        <v>ABSI</v>
      </c>
    </row>
    <row r="19">
      <c r="A19" s="1" t="str">
        <f>IFERROR(__xludf.DUMMYFUNCTION("""COMPUTED_VALUE"""),"ABST")</f>
        <v>ABST</v>
      </c>
    </row>
    <row r="20">
      <c r="A20" s="1" t="str">
        <f>IFERROR(__xludf.DUMMYFUNCTION("""COMPUTED_VALUE"""),"ABTX")</f>
        <v>ABTX</v>
      </c>
    </row>
    <row r="21">
      <c r="A21" s="1" t="str">
        <f>IFERROR(__xludf.DUMMYFUNCTION("""COMPUTED_VALUE"""),"ABUS")</f>
        <v>ABUS</v>
      </c>
    </row>
    <row r="22">
      <c r="A22" s="1" t="str">
        <f>IFERROR(__xludf.DUMMYFUNCTION("""COMPUTED_VALUE"""),"ABVC")</f>
        <v>ABVC</v>
      </c>
    </row>
    <row r="23">
      <c r="A23" s="1" t="str">
        <f>IFERROR(__xludf.DUMMYFUNCTION("""COMPUTED_VALUE"""),"ACAD")</f>
        <v>ACAD</v>
      </c>
    </row>
    <row r="24">
      <c r="A24" s="1" t="str">
        <f>IFERROR(__xludf.DUMMYFUNCTION("""COMPUTED_VALUE"""),"ACAH")</f>
        <v>ACAH</v>
      </c>
    </row>
    <row r="25">
      <c r="A25" s="1" t="str">
        <f>IFERROR(__xludf.DUMMYFUNCTION("""COMPUTED_VALUE"""),"ACAHU")</f>
        <v>ACAHU</v>
      </c>
    </row>
    <row r="26">
      <c r="A26" s="1" t="str">
        <f>IFERROR(__xludf.DUMMYFUNCTION("""COMPUTED_VALUE"""),"ACAHW")</f>
        <v>ACAHW</v>
      </c>
    </row>
    <row r="27">
      <c r="A27" s="1" t="str">
        <f>IFERROR(__xludf.DUMMYFUNCTION("""COMPUTED_VALUE"""),"ACB")</f>
        <v>ACB</v>
      </c>
    </row>
    <row r="28">
      <c r="A28" s="1" t="str">
        <f>IFERROR(__xludf.DUMMYFUNCTION("""COMPUTED_VALUE"""),"ACBAU")</f>
        <v>ACBAU</v>
      </c>
    </row>
    <row r="29">
      <c r="A29" s="1" t="str">
        <f>IFERROR(__xludf.DUMMYFUNCTION("""COMPUTED_VALUE"""),"ACBI")</f>
        <v>ACBI</v>
      </c>
    </row>
    <row r="30">
      <c r="A30" s="1" t="str">
        <f>IFERROR(__xludf.DUMMYFUNCTION("""COMPUTED_VALUE"""),"ACCD")</f>
        <v>ACCD</v>
      </c>
    </row>
    <row r="31">
      <c r="A31" s="1" t="str">
        <f>IFERROR(__xludf.DUMMYFUNCTION("""COMPUTED_VALUE"""),"ACER")</f>
        <v>ACER</v>
      </c>
    </row>
    <row r="32">
      <c r="A32" s="1" t="str">
        <f>IFERROR(__xludf.DUMMYFUNCTION("""COMPUTED_VALUE"""),"ACET")</f>
        <v>ACET</v>
      </c>
    </row>
    <row r="33">
      <c r="A33" s="1" t="str">
        <f>IFERROR(__xludf.DUMMYFUNCTION("""COMPUTED_VALUE"""),"ACEV")</f>
        <v>ACEV</v>
      </c>
    </row>
    <row r="34">
      <c r="A34" s="1" t="str">
        <f>IFERROR(__xludf.DUMMYFUNCTION("""COMPUTED_VALUE"""),"ACEVU")</f>
        <v>ACEVU</v>
      </c>
    </row>
    <row r="35">
      <c r="A35" s="1" t="str">
        <f>IFERROR(__xludf.DUMMYFUNCTION("""COMPUTED_VALUE"""),"ACEVW")</f>
        <v>ACEVW</v>
      </c>
    </row>
    <row r="36">
      <c r="A36" s="1" t="str">
        <f>IFERROR(__xludf.DUMMYFUNCTION("""COMPUTED_VALUE"""),"ACGL")</f>
        <v>ACGL</v>
      </c>
    </row>
    <row r="37">
      <c r="A37" s="1" t="str">
        <f>IFERROR(__xludf.DUMMYFUNCTION("""COMPUTED_VALUE"""),"ACGLN")</f>
        <v>ACGLN</v>
      </c>
    </row>
    <row r="38">
      <c r="A38" s="1" t="str">
        <f>IFERROR(__xludf.DUMMYFUNCTION("""COMPUTED_VALUE"""),"ACGLO")</f>
        <v>ACGLO</v>
      </c>
    </row>
    <row r="39">
      <c r="A39" s="1" t="str">
        <f>IFERROR(__xludf.DUMMYFUNCTION("""COMPUTED_VALUE"""),"ACGLP")</f>
        <v>ACGLP</v>
      </c>
    </row>
    <row r="40">
      <c r="A40" s="1" t="str">
        <f>IFERROR(__xludf.DUMMYFUNCTION("""COMPUTED_VALUE"""),"ACHC")</f>
        <v>ACHC</v>
      </c>
    </row>
    <row r="41">
      <c r="A41" s="1" t="str">
        <f>IFERROR(__xludf.DUMMYFUNCTION("""COMPUTED_VALUE"""),"ACHL")</f>
        <v>ACHL</v>
      </c>
    </row>
    <row r="42">
      <c r="A42" s="1" t="str">
        <f>IFERROR(__xludf.DUMMYFUNCTION("""COMPUTED_VALUE"""),"ACHV")</f>
        <v>ACHV</v>
      </c>
    </row>
    <row r="43">
      <c r="A43" s="1" t="str">
        <f>IFERROR(__xludf.DUMMYFUNCTION("""COMPUTED_VALUE"""),"ACIU")</f>
        <v>ACIU</v>
      </c>
    </row>
    <row r="44">
      <c r="A44" s="1" t="str">
        <f>IFERROR(__xludf.DUMMYFUNCTION("""COMPUTED_VALUE"""),"ACIW")</f>
        <v>ACIW</v>
      </c>
    </row>
    <row r="45">
      <c r="A45" s="1" t="str">
        <f>IFERROR(__xludf.DUMMYFUNCTION("""COMPUTED_VALUE"""),"ACKIT")</f>
        <v>ACKIT</v>
      </c>
    </row>
    <row r="46">
      <c r="A46" s="1" t="str">
        <f>IFERROR(__xludf.DUMMYFUNCTION("""COMPUTED_VALUE"""),"ACKIU")</f>
        <v>ACKIU</v>
      </c>
    </row>
    <row r="47">
      <c r="A47" s="1" t="str">
        <f>IFERROR(__xludf.DUMMYFUNCTION("""COMPUTED_VALUE"""),"ACKIW")</f>
        <v>ACKIW</v>
      </c>
    </row>
    <row r="48">
      <c r="A48" s="1" t="str">
        <f>IFERROR(__xludf.DUMMYFUNCTION("""COMPUTED_VALUE"""),"ACLS")</f>
        <v>ACLS</v>
      </c>
    </row>
    <row r="49">
      <c r="A49" s="1" t="str">
        <f>IFERROR(__xludf.DUMMYFUNCTION("""COMPUTED_VALUE"""),"ACMR")</f>
        <v>ACMR</v>
      </c>
    </row>
    <row r="50">
      <c r="A50" s="1" t="str">
        <f>IFERROR(__xludf.DUMMYFUNCTION("""COMPUTED_VALUE"""),"ACNB")</f>
        <v>ACNB</v>
      </c>
    </row>
    <row r="51">
      <c r="A51" s="1" t="str">
        <f>IFERROR(__xludf.DUMMYFUNCTION("""COMPUTED_VALUE"""),"ACOR")</f>
        <v>ACOR</v>
      </c>
    </row>
    <row r="52">
      <c r="A52" s="1" t="str">
        <f>IFERROR(__xludf.DUMMYFUNCTION("""COMPUTED_VALUE"""),"ACQR")</f>
        <v>ACQR</v>
      </c>
    </row>
    <row r="53">
      <c r="A53" s="1" t="str">
        <f>IFERROR(__xludf.DUMMYFUNCTION("""COMPUTED_VALUE"""),"ACQRU")</f>
        <v>ACQRU</v>
      </c>
    </row>
    <row r="54">
      <c r="A54" s="1" t="str">
        <f>IFERROR(__xludf.DUMMYFUNCTION("""COMPUTED_VALUE"""),"ACQRW")</f>
        <v>ACQRW</v>
      </c>
    </row>
    <row r="55">
      <c r="A55" s="1" t="str">
        <f>IFERROR(__xludf.DUMMYFUNCTION("""COMPUTED_VALUE"""),"ACRS")</f>
        <v>ACRS</v>
      </c>
    </row>
    <row r="56">
      <c r="A56" s="1" t="str">
        <f>IFERROR(__xludf.DUMMYFUNCTION("""COMPUTED_VALUE"""),"ACRX")</f>
        <v>ACRX</v>
      </c>
    </row>
    <row r="57">
      <c r="A57" s="1" t="str">
        <f>IFERROR(__xludf.DUMMYFUNCTION("""COMPUTED_VALUE"""),"ACST")</f>
        <v>ACST</v>
      </c>
    </row>
    <row r="58">
      <c r="A58" s="1" t="str">
        <f>IFERROR(__xludf.DUMMYFUNCTION("""COMPUTED_VALUE"""),"ACTD")</f>
        <v>ACTD</v>
      </c>
    </row>
    <row r="59">
      <c r="A59" s="1" t="str">
        <f>IFERROR(__xludf.DUMMYFUNCTION("""COMPUTED_VALUE"""),"ACTDU")</f>
        <v>ACTDU</v>
      </c>
    </row>
    <row r="60">
      <c r="A60" s="1" t="str">
        <f>IFERROR(__xludf.DUMMYFUNCTION("""COMPUTED_VALUE"""),"ACTDW")</f>
        <v>ACTDW</v>
      </c>
    </row>
    <row r="61">
      <c r="A61" s="1" t="str">
        <f>IFERROR(__xludf.DUMMYFUNCTION("""COMPUTED_VALUE"""),"ACTG")</f>
        <v>ACTG</v>
      </c>
    </row>
    <row r="62">
      <c r="A62" s="1" t="str">
        <f>IFERROR(__xludf.DUMMYFUNCTION("""COMPUTED_VALUE"""),"ACVA")</f>
        <v>ACVA</v>
      </c>
    </row>
    <row r="63">
      <c r="A63" s="1" t="str">
        <f>IFERROR(__xludf.DUMMYFUNCTION("""COMPUTED_VALUE"""),"ACXP")</f>
        <v>ACXP</v>
      </c>
    </row>
    <row r="64">
      <c r="A64" s="1" t="str">
        <f>IFERROR(__xludf.DUMMYFUNCTION("""COMPUTED_VALUE"""),"ADAG")</f>
        <v>ADAG</v>
      </c>
    </row>
    <row r="65">
      <c r="A65" s="1" t="str">
        <f>IFERROR(__xludf.DUMMYFUNCTION("""COMPUTED_VALUE"""),"ADAP")</f>
        <v>ADAP</v>
      </c>
    </row>
    <row r="66">
      <c r="A66" s="1" t="str">
        <f>IFERROR(__xludf.DUMMYFUNCTION("""COMPUTED_VALUE"""),"ADBE")</f>
        <v>ADBE</v>
      </c>
    </row>
    <row r="67">
      <c r="A67" s="1" t="str">
        <f>IFERROR(__xludf.DUMMYFUNCTION("""COMPUTED_VALUE"""),"ADER")</f>
        <v>ADER</v>
      </c>
    </row>
    <row r="68">
      <c r="A68" s="1" t="str">
        <f>IFERROR(__xludf.DUMMYFUNCTION("""COMPUTED_VALUE"""),"ADERU")</f>
        <v>ADERU</v>
      </c>
    </row>
    <row r="69">
      <c r="A69" s="1" t="str">
        <f>IFERROR(__xludf.DUMMYFUNCTION("""COMPUTED_VALUE"""),"ADERW")</f>
        <v>ADERW</v>
      </c>
    </row>
    <row r="70">
      <c r="A70" s="1" t="str">
        <f>IFERROR(__xludf.DUMMYFUNCTION("""COMPUTED_VALUE"""),"ADES")</f>
        <v>ADES</v>
      </c>
    </row>
    <row r="71">
      <c r="A71" s="1" t="str">
        <f>IFERROR(__xludf.DUMMYFUNCTION("""COMPUTED_VALUE"""),"ADI")</f>
        <v>ADI</v>
      </c>
    </row>
    <row r="72">
      <c r="A72" s="1" t="str">
        <f>IFERROR(__xludf.DUMMYFUNCTION("""COMPUTED_VALUE"""),"ADIL")</f>
        <v>ADIL</v>
      </c>
    </row>
    <row r="73">
      <c r="A73" s="1" t="str">
        <f>IFERROR(__xludf.DUMMYFUNCTION("""COMPUTED_VALUE"""),"ADILW")</f>
        <v>ADILW</v>
      </c>
    </row>
    <row r="74">
      <c r="A74" s="1" t="str">
        <f>IFERROR(__xludf.DUMMYFUNCTION("""COMPUTED_VALUE"""),"ADMA")</f>
        <v>ADMA</v>
      </c>
    </row>
    <row r="75">
      <c r="A75" s="1" t="str">
        <f>IFERROR(__xludf.DUMMYFUNCTION("""COMPUTED_VALUE"""),"ADMP")</f>
        <v>ADMP</v>
      </c>
    </row>
    <row r="76">
      <c r="A76" s="1" t="str">
        <f>IFERROR(__xludf.DUMMYFUNCTION("""COMPUTED_VALUE"""),"ADMS")</f>
        <v>ADMS</v>
      </c>
    </row>
    <row r="77">
      <c r="A77" s="1" t="str">
        <f>IFERROR(__xludf.DUMMYFUNCTION("""COMPUTED_VALUE"""),"ADN")</f>
        <v>ADN</v>
      </c>
    </row>
    <row r="78">
      <c r="A78" s="1" t="str">
        <f>IFERROR(__xludf.DUMMYFUNCTION("""COMPUTED_VALUE"""),"ADNWW")</f>
        <v>ADNWW</v>
      </c>
    </row>
    <row r="79">
      <c r="A79" s="1" t="str">
        <f>IFERROR(__xludf.DUMMYFUNCTION("""COMPUTED_VALUE"""),"ADOC")</f>
        <v>ADOC</v>
      </c>
    </row>
    <row r="80">
      <c r="A80" s="1" t="str">
        <f>IFERROR(__xludf.DUMMYFUNCTION("""COMPUTED_VALUE"""),"ADOCR")</f>
        <v>ADOCR</v>
      </c>
    </row>
    <row r="81">
      <c r="A81" s="1" t="str">
        <f>IFERROR(__xludf.DUMMYFUNCTION("""COMPUTED_VALUE"""),"ADOCW")</f>
        <v>ADOCW</v>
      </c>
    </row>
    <row r="82">
      <c r="A82" s="1" t="str">
        <f>IFERROR(__xludf.DUMMYFUNCTION("""COMPUTED_VALUE"""),"ADP")</f>
        <v>ADP</v>
      </c>
    </row>
    <row r="83">
      <c r="A83" s="1" t="str">
        <f>IFERROR(__xludf.DUMMYFUNCTION("""COMPUTED_VALUE"""),"ADPT")</f>
        <v>ADPT</v>
      </c>
    </row>
    <row r="84">
      <c r="A84" s="1" t="str">
        <f>IFERROR(__xludf.DUMMYFUNCTION("""COMPUTED_VALUE"""),"ADSK")</f>
        <v>ADSK</v>
      </c>
    </row>
    <row r="85">
      <c r="A85" s="1" t="str">
        <f>IFERROR(__xludf.DUMMYFUNCTION("""COMPUTED_VALUE"""),"ADTN")</f>
        <v>ADTN</v>
      </c>
    </row>
    <row r="86">
      <c r="A86" s="1" t="str">
        <f>IFERROR(__xludf.DUMMYFUNCTION("""COMPUTED_VALUE"""),"ADTX")</f>
        <v>ADTX</v>
      </c>
    </row>
    <row r="87">
      <c r="A87" s="1" t="str">
        <f>IFERROR(__xludf.DUMMYFUNCTION("""COMPUTED_VALUE"""),"ADUS")</f>
        <v>ADUS</v>
      </c>
    </row>
    <row r="88">
      <c r="A88" s="1" t="str">
        <f>IFERROR(__xludf.DUMMYFUNCTION("""COMPUTED_VALUE"""),"ADV")</f>
        <v>ADV</v>
      </c>
    </row>
    <row r="89">
      <c r="A89" s="1" t="str">
        <f>IFERROR(__xludf.DUMMYFUNCTION("""COMPUTED_VALUE"""),"ADVM")</f>
        <v>ADVM</v>
      </c>
    </row>
    <row r="90">
      <c r="A90" s="1" t="str">
        <f>IFERROR(__xludf.DUMMYFUNCTION("""COMPUTED_VALUE"""),"ADVWW")</f>
        <v>ADVWW</v>
      </c>
    </row>
    <row r="91">
      <c r="A91" s="1" t="str">
        <f>IFERROR(__xludf.DUMMYFUNCTION("""COMPUTED_VALUE"""),"ADXN")</f>
        <v>ADXN</v>
      </c>
    </row>
    <row r="92">
      <c r="A92" s="1" t="str">
        <f>IFERROR(__xludf.DUMMYFUNCTION("""COMPUTED_VALUE"""),"ADXS")</f>
        <v>ADXS</v>
      </c>
    </row>
    <row r="93">
      <c r="A93" s="1" t="str">
        <f>IFERROR(__xludf.DUMMYFUNCTION("""COMPUTED_VALUE"""),"AEAC")</f>
        <v>AEAC</v>
      </c>
    </row>
    <row r="94">
      <c r="A94" s="1" t="str">
        <f>IFERROR(__xludf.DUMMYFUNCTION("""COMPUTED_VALUE"""),"AEACU")</f>
        <v>AEACU</v>
      </c>
    </row>
    <row r="95">
      <c r="A95" s="1" t="str">
        <f>IFERROR(__xludf.DUMMYFUNCTION("""COMPUTED_VALUE"""),"AEACW")</f>
        <v>AEACW</v>
      </c>
    </row>
    <row r="96">
      <c r="A96" s="1" t="str">
        <f>IFERROR(__xludf.DUMMYFUNCTION("""COMPUTED_VALUE"""),"AEHL")</f>
        <v>AEHL</v>
      </c>
    </row>
    <row r="97">
      <c r="A97" s="1" t="str">
        <f>IFERROR(__xludf.DUMMYFUNCTION("""COMPUTED_VALUE"""),"AEHR")</f>
        <v>AEHR</v>
      </c>
    </row>
    <row r="98">
      <c r="A98" s="1" t="str">
        <f>IFERROR(__xludf.DUMMYFUNCTION("""COMPUTED_VALUE"""),"AEI")</f>
        <v>AEI</v>
      </c>
    </row>
    <row r="99">
      <c r="A99" s="1" t="str">
        <f>IFERROR(__xludf.DUMMYFUNCTION("""COMPUTED_VALUE"""),"AEIS")</f>
        <v>AEIS</v>
      </c>
    </row>
    <row r="100">
      <c r="A100" s="1" t="str">
        <f>IFERROR(__xludf.DUMMYFUNCTION("""COMPUTED_VALUE"""),"AEMD")</f>
        <v>AEMD</v>
      </c>
    </row>
    <row r="101">
      <c r="A101" s="1" t="str">
        <f>IFERROR(__xludf.DUMMYFUNCTION("""COMPUTED_VALUE"""),"AEP")</f>
        <v>AEP</v>
      </c>
    </row>
    <row r="102">
      <c r="A102" s="1" t="str">
        <f>IFERROR(__xludf.DUMMYFUNCTION("""COMPUTED_VALUE"""),"AEPPL")</f>
        <v>AEPPL</v>
      </c>
    </row>
    <row r="103">
      <c r="A103" s="1" t="str">
        <f>IFERROR(__xludf.DUMMYFUNCTION("""COMPUTED_VALUE"""),"AEPPZ")</f>
        <v>AEPPZ</v>
      </c>
    </row>
    <row r="104">
      <c r="A104" s="1" t="str">
        <f>IFERROR(__xludf.DUMMYFUNCTION("""COMPUTED_VALUE"""),"AERI")</f>
        <v>AERI</v>
      </c>
    </row>
    <row r="105">
      <c r="A105" s="1" t="str">
        <f>IFERROR(__xludf.DUMMYFUNCTION("""COMPUTED_VALUE"""),"AESE")</f>
        <v>AESE</v>
      </c>
    </row>
    <row r="106">
      <c r="A106" s="1" t="str">
        <f>IFERROR(__xludf.DUMMYFUNCTION("""COMPUTED_VALUE"""),"AEY")</f>
        <v>AEY</v>
      </c>
    </row>
    <row r="107">
      <c r="A107" s="1" t="str">
        <f>IFERROR(__xludf.DUMMYFUNCTION("""COMPUTED_VALUE"""),"AEYE")</f>
        <v>AEYE</v>
      </c>
    </row>
    <row r="108">
      <c r="A108" s="1" t="str">
        <f>IFERROR(__xludf.DUMMYFUNCTION("""COMPUTED_VALUE"""),"AEZS")</f>
        <v>AEZS</v>
      </c>
    </row>
    <row r="109">
      <c r="A109" s="1" t="str">
        <f>IFERROR(__xludf.DUMMYFUNCTION("""COMPUTED_VALUE"""),"AFAQ")</f>
        <v>AFAQ</v>
      </c>
    </row>
    <row r="110">
      <c r="A110" s="1" t="str">
        <f>IFERROR(__xludf.DUMMYFUNCTION("""COMPUTED_VALUE"""),"AFBI")</f>
        <v>AFBI</v>
      </c>
    </row>
    <row r="111">
      <c r="A111" s="1" t="str">
        <f>IFERROR(__xludf.DUMMYFUNCTION("""COMPUTED_VALUE"""),"AFCG")</f>
        <v>AFCG</v>
      </c>
    </row>
    <row r="112">
      <c r="A112" s="1" t="str">
        <f>IFERROR(__xludf.DUMMYFUNCTION("""COMPUTED_VALUE"""),"AFIB")</f>
        <v>AFIB</v>
      </c>
    </row>
    <row r="113">
      <c r="A113" s="1" t="str">
        <f>IFERROR(__xludf.DUMMYFUNCTION("""COMPUTED_VALUE"""),"AFIN")</f>
        <v>AFIN</v>
      </c>
    </row>
    <row r="114">
      <c r="A114" s="1" t="str">
        <f>IFERROR(__xludf.DUMMYFUNCTION("""COMPUTED_VALUE"""),"AFINO")</f>
        <v>AFINO</v>
      </c>
    </row>
    <row r="115">
      <c r="A115" s="1" t="str">
        <f>IFERROR(__xludf.DUMMYFUNCTION("""COMPUTED_VALUE"""),"AFINP")</f>
        <v>AFINP</v>
      </c>
    </row>
    <row r="116">
      <c r="A116" s="1" t="str">
        <f>IFERROR(__xludf.DUMMYFUNCTION("""COMPUTED_VALUE"""),"AFMD")</f>
        <v>AFMD</v>
      </c>
    </row>
    <row r="117">
      <c r="A117" s="1" t="str">
        <f>IFERROR(__xludf.DUMMYFUNCTION("""COMPUTED_VALUE"""),"AFRM")</f>
        <v>AFRM</v>
      </c>
    </row>
    <row r="118">
      <c r="A118" s="1" t="str">
        <f>IFERROR(__xludf.DUMMYFUNCTION("""COMPUTED_VALUE"""),"AFYA")</f>
        <v>AFYA</v>
      </c>
    </row>
    <row r="119">
      <c r="A119" s="1" t="str">
        <f>IFERROR(__xludf.DUMMYFUNCTION("""COMPUTED_VALUE"""),"AGBA")</f>
        <v>AGBA</v>
      </c>
    </row>
    <row r="120">
      <c r="A120" s="1" t="str">
        <f>IFERROR(__xludf.DUMMYFUNCTION("""COMPUTED_VALUE"""),"AGBAR")</f>
        <v>AGBAR</v>
      </c>
    </row>
    <row r="121">
      <c r="A121" s="1" t="str">
        <f>IFERROR(__xludf.DUMMYFUNCTION("""COMPUTED_VALUE"""),"AGBAU")</f>
        <v>AGBAU</v>
      </c>
    </row>
    <row r="122">
      <c r="A122" s="1" t="str">
        <f>IFERROR(__xludf.DUMMYFUNCTION("""COMPUTED_VALUE"""),"AGBAW")</f>
        <v>AGBAW</v>
      </c>
    </row>
    <row r="123">
      <c r="A123" s="1" t="str">
        <f>IFERROR(__xludf.DUMMYFUNCTION("""COMPUTED_VALUE"""),"AGC")</f>
        <v>AGC</v>
      </c>
    </row>
    <row r="124">
      <c r="A124" s="1" t="str">
        <f>IFERROR(__xludf.DUMMYFUNCTION("""COMPUTED_VALUE"""),"AGCUU")</f>
        <v>AGCUU</v>
      </c>
    </row>
    <row r="125">
      <c r="A125" s="1" t="str">
        <f>IFERROR(__xludf.DUMMYFUNCTION("""COMPUTED_VALUE"""),"AGCWW")</f>
        <v>AGCWW</v>
      </c>
    </row>
    <row r="126">
      <c r="A126" s="1" t="str">
        <f>IFERROR(__xludf.DUMMYFUNCTION("""COMPUTED_VALUE"""),"AGEN")</f>
        <v>AGEN</v>
      </c>
    </row>
    <row r="127">
      <c r="A127" s="1" t="str">
        <f>IFERROR(__xludf.DUMMYFUNCTION("""COMPUTED_VALUE"""),"AGFS")</f>
        <v>AGFS</v>
      </c>
    </row>
    <row r="128">
      <c r="A128" s="1" t="str">
        <f>IFERROR(__xludf.DUMMYFUNCTION("""COMPUTED_VALUE"""),"AGFY")</f>
        <v>AGFY</v>
      </c>
    </row>
    <row r="129">
      <c r="A129" s="1" t="str">
        <f>IFERROR(__xludf.DUMMYFUNCTION("""COMPUTED_VALUE"""),"AGGR")</f>
        <v>AGGR</v>
      </c>
    </row>
    <row r="130">
      <c r="A130" s="1" t="str">
        <f>IFERROR(__xludf.DUMMYFUNCTION("""COMPUTED_VALUE"""),"AGGRU")</f>
        <v>AGGRU</v>
      </c>
    </row>
    <row r="131">
      <c r="A131" s="1" t="str">
        <f>IFERROR(__xludf.DUMMYFUNCTION("""COMPUTED_VALUE"""),"AGGRW")</f>
        <v>AGGRW</v>
      </c>
    </row>
    <row r="132">
      <c r="A132" s="1" t="str">
        <f>IFERROR(__xludf.DUMMYFUNCTION("""COMPUTED_VALUE"""),"AGIO")</f>
        <v>AGIO</v>
      </c>
    </row>
    <row r="133">
      <c r="A133" s="1" t="str">
        <f>IFERROR(__xludf.DUMMYFUNCTION("""COMPUTED_VALUE"""),"AGLE")</f>
        <v>AGLE</v>
      </c>
    </row>
    <row r="134">
      <c r="A134" s="1" t="str">
        <f>IFERROR(__xludf.DUMMYFUNCTION("""COMPUTED_VALUE"""),"AGMH")</f>
        <v>AGMH</v>
      </c>
    </row>
    <row r="135">
      <c r="A135" s="1" t="str">
        <f>IFERROR(__xludf.DUMMYFUNCTION("""COMPUTED_VALUE"""),"AGNC")</f>
        <v>AGNC</v>
      </c>
    </row>
    <row r="136">
      <c r="A136" s="1" t="str">
        <f>IFERROR(__xludf.DUMMYFUNCTION("""COMPUTED_VALUE"""),"AGNCM")</f>
        <v>AGNCM</v>
      </c>
    </row>
    <row r="137">
      <c r="A137" s="1" t="str">
        <f>IFERROR(__xludf.DUMMYFUNCTION("""COMPUTED_VALUE"""),"AGNCN")</f>
        <v>AGNCN</v>
      </c>
    </row>
    <row r="138">
      <c r="A138" s="1" t="str">
        <f>IFERROR(__xludf.DUMMYFUNCTION("""COMPUTED_VALUE"""),"AGNCO")</f>
        <v>AGNCO</v>
      </c>
    </row>
    <row r="139">
      <c r="A139" s="1" t="str">
        <f>IFERROR(__xludf.DUMMYFUNCTION("""COMPUTED_VALUE"""),"AGNCP")</f>
        <v>AGNCP</v>
      </c>
    </row>
    <row r="140">
      <c r="A140" s="1" t="str">
        <f>IFERROR(__xludf.DUMMYFUNCTION("""COMPUTED_VALUE"""),"AGRI")</f>
        <v>AGRI</v>
      </c>
    </row>
    <row r="141">
      <c r="A141" s="1" t="str">
        <f>IFERROR(__xludf.DUMMYFUNCTION("""COMPUTED_VALUE"""),"AGRIW")</f>
        <v>AGRIW</v>
      </c>
    </row>
    <row r="142">
      <c r="A142" s="1" t="str">
        <f>IFERROR(__xludf.DUMMYFUNCTION("""COMPUTED_VALUE"""),"AGRX")</f>
        <v>AGRX</v>
      </c>
    </row>
    <row r="143">
      <c r="A143" s="1" t="str">
        <f>IFERROR(__xludf.DUMMYFUNCTION("""COMPUTED_VALUE"""),"AGTC")</f>
        <v>AGTC</v>
      </c>
    </row>
    <row r="144">
      <c r="A144" s="1" t="str">
        <f>IFERROR(__xludf.DUMMYFUNCTION("""COMPUTED_VALUE"""),"AGYS")</f>
        <v>AGYS</v>
      </c>
    </row>
    <row r="145">
      <c r="A145" s="1" t="str">
        <f>IFERROR(__xludf.DUMMYFUNCTION("""COMPUTED_VALUE"""),"AHAC")</f>
        <v>AHAC</v>
      </c>
    </row>
    <row r="146">
      <c r="A146" s="1" t="str">
        <f>IFERROR(__xludf.DUMMYFUNCTION("""COMPUTED_VALUE"""),"AHACU")</f>
        <v>AHACU</v>
      </c>
    </row>
    <row r="147">
      <c r="A147" s="1" t="str">
        <f>IFERROR(__xludf.DUMMYFUNCTION("""COMPUTED_VALUE"""),"AHACW")</f>
        <v>AHACW</v>
      </c>
    </row>
    <row r="148">
      <c r="A148" s="1" t="str">
        <f>IFERROR(__xludf.DUMMYFUNCTION("""COMPUTED_VALUE"""),"AHCO")</f>
        <v>AHCO</v>
      </c>
    </row>
    <row r="149">
      <c r="A149" s="1" t="str">
        <f>IFERROR(__xludf.DUMMYFUNCTION("""COMPUTED_VALUE"""),"AHPI")</f>
        <v>AHPI</v>
      </c>
    </row>
    <row r="150">
      <c r="A150" s="1" t="str">
        <f>IFERROR(__xludf.DUMMYFUNCTION("""COMPUTED_VALUE"""),"AIH")</f>
        <v>AIH</v>
      </c>
    </row>
    <row r="151">
      <c r="A151" s="1" t="str">
        <f>IFERROR(__xludf.DUMMYFUNCTION("""COMPUTED_VALUE"""),"AIHS")</f>
        <v>AIHS</v>
      </c>
    </row>
    <row r="152">
      <c r="A152" s="1" t="str">
        <f>IFERROR(__xludf.DUMMYFUNCTION("""COMPUTED_VALUE"""),"AIKI")</f>
        <v>AIKI</v>
      </c>
    </row>
    <row r="153">
      <c r="A153" s="1" t="str">
        <f>IFERROR(__xludf.DUMMYFUNCTION("""COMPUTED_VALUE"""),"AIMC")</f>
        <v>AIMC</v>
      </c>
    </row>
    <row r="154">
      <c r="A154" s="1" t="str">
        <f>IFERROR(__xludf.DUMMYFUNCTION("""COMPUTED_VALUE"""),"AINV")</f>
        <v>AINV</v>
      </c>
    </row>
    <row r="155">
      <c r="A155" s="1" t="str">
        <f>IFERROR(__xludf.DUMMYFUNCTION("""COMPUTED_VALUE"""),"AIRG")</f>
        <v>AIRG</v>
      </c>
    </row>
    <row r="156">
      <c r="A156" s="1" t="str">
        <f>IFERROR(__xludf.DUMMYFUNCTION("""COMPUTED_VALUE"""),"AIRT")</f>
        <v>AIRT</v>
      </c>
    </row>
    <row r="157">
      <c r="A157" s="1" t="str">
        <f>IFERROR(__xludf.DUMMYFUNCTION("""COMPUTED_VALUE"""),"AIRTP")</f>
        <v>AIRTP</v>
      </c>
    </row>
    <row r="158">
      <c r="A158" s="1" t="str">
        <f>IFERROR(__xludf.DUMMYFUNCTION("""COMPUTED_VALUE"""),"AIRTW")</f>
        <v>AIRTW</v>
      </c>
    </row>
    <row r="159">
      <c r="A159" s="1" t="str">
        <f>IFERROR(__xludf.DUMMYFUNCTION("""COMPUTED_VALUE"""),"AKAM")</f>
        <v>AKAM</v>
      </c>
    </row>
    <row r="160">
      <c r="A160" s="1" t="str">
        <f>IFERROR(__xludf.DUMMYFUNCTION("""COMPUTED_VALUE"""),"AKBA")</f>
        <v>AKBA</v>
      </c>
    </row>
    <row r="161">
      <c r="A161" s="1" t="str">
        <f>IFERROR(__xludf.DUMMYFUNCTION("""COMPUTED_VALUE"""),"AKIC")</f>
        <v>AKIC</v>
      </c>
    </row>
    <row r="162">
      <c r="A162" s="1" t="str">
        <f>IFERROR(__xludf.DUMMYFUNCTION("""COMPUTED_VALUE"""),"AKICU")</f>
        <v>AKICU</v>
      </c>
    </row>
    <row r="163">
      <c r="A163" s="1" t="str">
        <f>IFERROR(__xludf.DUMMYFUNCTION("""COMPUTED_VALUE"""),"AKICW")</f>
        <v>AKICW</v>
      </c>
    </row>
    <row r="164">
      <c r="A164" s="1" t="str">
        <f>IFERROR(__xludf.DUMMYFUNCTION("""COMPUTED_VALUE"""),"AKRO")</f>
        <v>AKRO</v>
      </c>
    </row>
    <row r="165">
      <c r="A165" s="1" t="str">
        <f>IFERROR(__xludf.DUMMYFUNCTION("""COMPUTED_VALUE"""),"AKTS")</f>
        <v>AKTS</v>
      </c>
    </row>
    <row r="166">
      <c r="A166" s="1" t="str">
        <f>IFERROR(__xludf.DUMMYFUNCTION("""COMPUTED_VALUE"""),"AKTX")</f>
        <v>AKTX</v>
      </c>
    </row>
    <row r="167">
      <c r="A167" s="1" t="str">
        <f>IFERROR(__xludf.DUMMYFUNCTION("""COMPUTED_VALUE"""),"AKU")</f>
        <v>AKU</v>
      </c>
    </row>
    <row r="168">
      <c r="A168" s="1" t="str">
        <f>IFERROR(__xludf.DUMMYFUNCTION("""COMPUTED_VALUE"""),"AKUS")</f>
        <v>AKUS</v>
      </c>
    </row>
    <row r="169">
      <c r="A169" s="1" t="str">
        <f>IFERROR(__xludf.DUMMYFUNCTION("""COMPUTED_VALUE"""),"AKYA")</f>
        <v>AKYA</v>
      </c>
    </row>
    <row r="170">
      <c r="A170" s="1" t="str">
        <f>IFERROR(__xludf.DUMMYFUNCTION("""COMPUTED_VALUE"""),"ALAC")</f>
        <v>ALAC</v>
      </c>
    </row>
    <row r="171">
      <c r="A171" s="1" t="str">
        <f>IFERROR(__xludf.DUMMYFUNCTION("""COMPUTED_VALUE"""),"ALACR")</f>
        <v>ALACR</v>
      </c>
    </row>
    <row r="172">
      <c r="A172" s="1" t="str">
        <f>IFERROR(__xludf.DUMMYFUNCTION("""COMPUTED_VALUE"""),"ALACW")</f>
        <v>ALACW</v>
      </c>
    </row>
    <row r="173">
      <c r="A173" s="1" t="str">
        <f>IFERROR(__xludf.DUMMYFUNCTION("""COMPUTED_VALUE"""),"ALBO")</f>
        <v>ALBO</v>
      </c>
    </row>
    <row r="174">
      <c r="A174" s="1" t="str">
        <f>IFERROR(__xludf.DUMMYFUNCTION("""COMPUTED_VALUE"""),"ALCO")</f>
        <v>ALCO</v>
      </c>
    </row>
    <row r="175">
      <c r="A175" s="1" t="str">
        <f>IFERROR(__xludf.DUMMYFUNCTION("""COMPUTED_VALUE"""),"ALDX")</f>
        <v>ALDX</v>
      </c>
    </row>
    <row r="176">
      <c r="A176" s="1" t="str">
        <f>IFERROR(__xludf.DUMMYFUNCTION("""COMPUTED_VALUE"""),"ALEC")</f>
        <v>ALEC</v>
      </c>
    </row>
    <row r="177">
      <c r="A177" s="1" t="str">
        <f>IFERROR(__xludf.DUMMYFUNCTION("""COMPUTED_VALUE"""),"ALF")</f>
        <v>ALF</v>
      </c>
    </row>
    <row r="178">
      <c r="A178" s="1" t="str">
        <f>IFERROR(__xludf.DUMMYFUNCTION("""COMPUTED_VALUE"""),"ALFIW")</f>
        <v>ALFIW</v>
      </c>
    </row>
    <row r="179">
      <c r="A179" s="1" t="str">
        <f>IFERROR(__xludf.DUMMYFUNCTION("""COMPUTED_VALUE"""),"ALGM")</f>
        <v>ALGM</v>
      </c>
    </row>
    <row r="180">
      <c r="A180" s="1" t="str">
        <f>IFERROR(__xludf.DUMMYFUNCTION("""COMPUTED_VALUE"""),"ALGN")</f>
        <v>ALGN</v>
      </c>
    </row>
    <row r="181">
      <c r="A181" s="1" t="str">
        <f>IFERROR(__xludf.DUMMYFUNCTION("""COMPUTED_VALUE"""),"ALGS")</f>
        <v>ALGS</v>
      </c>
    </row>
    <row r="182">
      <c r="A182" s="1" t="str">
        <f>IFERROR(__xludf.DUMMYFUNCTION("""COMPUTED_VALUE"""),"ALGT")</f>
        <v>ALGT</v>
      </c>
    </row>
    <row r="183">
      <c r="A183" s="1" t="str">
        <f>IFERROR(__xludf.DUMMYFUNCTION("""COMPUTED_VALUE"""),"ALHC")</f>
        <v>ALHC</v>
      </c>
    </row>
    <row r="184">
      <c r="A184" s="1" t="str">
        <f>IFERROR(__xludf.DUMMYFUNCTION("""COMPUTED_VALUE"""),"ALIM")</f>
        <v>ALIM</v>
      </c>
    </row>
    <row r="185">
      <c r="A185" s="1" t="str">
        <f>IFERROR(__xludf.DUMMYFUNCTION("""COMPUTED_VALUE"""),"ALJJ")</f>
        <v>ALJJ</v>
      </c>
    </row>
    <row r="186">
      <c r="A186" s="1" t="str">
        <f>IFERROR(__xludf.DUMMYFUNCTION("""COMPUTED_VALUE"""),"ALKS")</f>
        <v>ALKS</v>
      </c>
    </row>
    <row r="187">
      <c r="A187" s="1" t="str">
        <f>IFERROR(__xludf.DUMMYFUNCTION("""COMPUTED_VALUE"""),"ALKT")</f>
        <v>ALKT</v>
      </c>
    </row>
    <row r="188">
      <c r="A188" s="1" t="str">
        <f>IFERROR(__xludf.DUMMYFUNCTION("""COMPUTED_VALUE"""),"ALLK")</f>
        <v>ALLK</v>
      </c>
    </row>
    <row r="189">
      <c r="A189" s="1" t="str">
        <f>IFERROR(__xludf.DUMMYFUNCTION("""COMPUTED_VALUE"""),"ALLO")</f>
        <v>ALLO</v>
      </c>
    </row>
    <row r="190">
      <c r="A190" s="1" t="str">
        <f>IFERROR(__xludf.DUMMYFUNCTION("""COMPUTED_VALUE"""),"ALLT")</f>
        <v>ALLT</v>
      </c>
    </row>
    <row r="191">
      <c r="A191" s="1" t="str">
        <f>IFERROR(__xludf.DUMMYFUNCTION("""COMPUTED_VALUE"""),"ALNA")</f>
        <v>ALNA</v>
      </c>
    </row>
    <row r="192">
      <c r="A192" s="1" t="str">
        <f>IFERROR(__xludf.DUMMYFUNCTION("""COMPUTED_VALUE"""),"ALNY")</f>
        <v>ALNY</v>
      </c>
    </row>
    <row r="193">
      <c r="A193" s="1" t="str">
        <f>IFERROR(__xludf.DUMMYFUNCTION("""COMPUTED_VALUE"""),"ALOT")</f>
        <v>ALOT</v>
      </c>
    </row>
    <row r="194">
      <c r="A194" s="1" t="str">
        <f>IFERROR(__xludf.DUMMYFUNCTION("""COMPUTED_VALUE"""),"ALPAU")</f>
        <v>ALPAU</v>
      </c>
    </row>
    <row r="195">
      <c r="A195" s="1" t="str">
        <f>IFERROR(__xludf.DUMMYFUNCTION("""COMPUTED_VALUE"""),"ALPN")</f>
        <v>ALPN</v>
      </c>
    </row>
    <row r="196">
      <c r="A196" s="1" t="str">
        <f>IFERROR(__xludf.DUMMYFUNCTION("""COMPUTED_VALUE"""),"ALRM")</f>
        <v>ALRM</v>
      </c>
    </row>
    <row r="197">
      <c r="A197" s="1" t="str">
        <f>IFERROR(__xludf.DUMMYFUNCTION("""COMPUTED_VALUE"""),"ALRN")</f>
        <v>ALRN</v>
      </c>
    </row>
    <row r="198">
      <c r="A198" s="1" t="str">
        <f>IFERROR(__xludf.DUMMYFUNCTION("""COMPUTED_VALUE"""),"ALRS")</f>
        <v>ALRS</v>
      </c>
    </row>
    <row r="199">
      <c r="A199" s="1" t="str">
        <f>IFERROR(__xludf.DUMMYFUNCTION("""COMPUTED_VALUE"""),"ALT")</f>
        <v>ALT</v>
      </c>
    </row>
    <row r="200">
      <c r="A200" s="1" t="str">
        <f>IFERROR(__xludf.DUMMYFUNCTION("""COMPUTED_VALUE"""),"ALTA")</f>
        <v>ALTA</v>
      </c>
    </row>
    <row r="201">
      <c r="A201" s="1" t="str">
        <f>IFERROR(__xludf.DUMMYFUNCTION("""COMPUTED_VALUE"""),"ALTM")</f>
        <v>ALTM</v>
      </c>
    </row>
    <row r="202">
      <c r="A202" s="1" t="str">
        <f>IFERROR(__xludf.DUMMYFUNCTION("""COMPUTED_VALUE"""),"ALTO")</f>
        <v>ALTO</v>
      </c>
    </row>
    <row r="203">
      <c r="A203" s="1" t="str">
        <f>IFERROR(__xludf.DUMMYFUNCTION("""COMPUTED_VALUE"""),"ALTR")</f>
        <v>ALTR</v>
      </c>
    </row>
    <row r="204">
      <c r="A204" s="1" t="str">
        <f>IFERROR(__xludf.DUMMYFUNCTION("""COMPUTED_VALUE"""),"ALTU")</f>
        <v>ALTU</v>
      </c>
    </row>
    <row r="205">
      <c r="A205" s="1" t="str">
        <f>IFERROR(__xludf.DUMMYFUNCTION("""COMPUTED_VALUE"""),"ALTUW")</f>
        <v>ALTUW</v>
      </c>
    </row>
    <row r="206">
      <c r="A206" s="1" t="str">
        <f>IFERROR(__xludf.DUMMYFUNCTION("""COMPUTED_VALUE"""),"ALVR")</f>
        <v>ALVR</v>
      </c>
    </row>
    <row r="207">
      <c r="A207" s="1" t="str">
        <f>IFERROR(__xludf.DUMMYFUNCTION("""COMPUTED_VALUE"""),"ALXO")</f>
        <v>ALXO</v>
      </c>
    </row>
    <row r="208">
      <c r="A208" s="1" t="str">
        <f>IFERROR(__xludf.DUMMYFUNCTION("""COMPUTED_VALUE"""),"ALYA")</f>
        <v>ALYA</v>
      </c>
    </row>
    <row r="209">
      <c r="A209" s="1" t="str">
        <f>IFERROR(__xludf.DUMMYFUNCTION("""COMPUTED_VALUE"""),"ALZN")</f>
        <v>ALZN</v>
      </c>
    </row>
    <row r="210">
      <c r="A210" s="1" t="str">
        <f>IFERROR(__xludf.DUMMYFUNCTION("""COMPUTED_VALUE"""),"AMAL")</f>
        <v>AMAL</v>
      </c>
    </row>
    <row r="211">
      <c r="A211" s="1" t="str">
        <f>IFERROR(__xludf.DUMMYFUNCTION("""COMPUTED_VALUE"""),"AMAO")</f>
        <v>AMAO</v>
      </c>
    </row>
    <row r="212">
      <c r="A212" s="1" t="str">
        <f>IFERROR(__xludf.DUMMYFUNCTION("""COMPUTED_VALUE"""),"AMAOU")</f>
        <v>AMAOU</v>
      </c>
    </row>
    <row r="213">
      <c r="A213" s="1" t="str">
        <f>IFERROR(__xludf.DUMMYFUNCTION("""COMPUTED_VALUE"""),"AMAOW")</f>
        <v>AMAOW</v>
      </c>
    </row>
    <row r="214">
      <c r="A214" s="1" t="str">
        <f>IFERROR(__xludf.DUMMYFUNCTION("""COMPUTED_VALUE"""),"AMAT")</f>
        <v>AMAT</v>
      </c>
    </row>
    <row r="215">
      <c r="A215" s="1" t="str">
        <f>IFERROR(__xludf.DUMMYFUNCTION("""COMPUTED_VALUE"""),"AMBA")</f>
        <v>AMBA</v>
      </c>
    </row>
    <row r="216">
      <c r="A216" s="1" t="str">
        <f>IFERROR(__xludf.DUMMYFUNCTION("""COMPUTED_VALUE"""),"AMCIU")</f>
        <v>AMCIU</v>
      </c>
    </row>
    <row r="217">
      <c r="A217" s="1" t="str">
        <f>IFERROR(__xludf.DUMMYFUNCTION("""COMPUTED_VALUE"""),"AMCX")</f>
        <v>AMCX</v>
      </c>
    </row>
    <row r="218">
      <c r="A218" s="1" t="str">
        <f>IFERROR(__xludf.DUMMYFUNCTION("""COMPUTED_VALUE"""),"AMD")</f>
        <v>AMD</v>
      </c>
    </row>
    <row r="219">
      <c r="A219" s="1" t="str">
        <f>IFERROR(__xludf.DUMMYFUNCTION("""COMPUTED_VALUE"""),"AMED")</f>
        <v>AMED</v>
      </c>
    </row>
    <row r="220">
      <c r="A220" s="1" t="str">
        <f>IFERROR(__xludf.DUMMYFUNCTION("""COMPUTED_VALUE"""),"AMEH")</f>
        <v>AMEH</v>
      </c>
    </row>
    <row r="221">
      <c r="A221" s="1" t="str">
        <f>IFERROR(__xludf.DUMMYFUNCTION("""COMPUTED_VALUE"""),"AMGN")</f>
        <v>AMGN</v>
      </c>
    </row>
    <row r="222">
      <c r="A222" s="1" t="str">
        <f>IFERROR(__xludf.DUMMYFUNCTION("""COMPUTED_VALUE"""),"AMHC")</f>
        <v>AMHC</v>
      </c>
    </row>
    <row r="223">
      <c r="A223" s="1" t="str">
        <f>IFERROR(__xludf.DUMMYFUNCTION("""COMPUTED_VALUE"""),"AMHCW")</f>
        <v>AMHCW</v>
      </c>
    </row>
    <row r="224">
      <c r="A224" s="1" t="str">
        <f>IFERROR(__xludf.DUMMYFUNCTION("""COMPUTED_VALUE"""),"AMKR")</f>
        <v>AMKR</v>
      </c>
    </row>
    <row r="225">
      <c r="A225" s="1" t="str">
        <f>IFERROR(__xludf.DUMMYFUNCTION("""COMPUTED_VALUE"""),"AMNB")</f>
        <v>AMNB</v>
      </c>
    </row>
    <row r="226">
      <c r="A226" s="1" t="str">
        <f>IFERROR(__xludf.DUMMYFUNCTION("""COMPUTED_VALUE"""),"AMOT")</f>
        <v>AMOT</v>
      </c>
    </row>
    <row r="227">
      <c r="A227" s="1" t="str">
        <f>IFERROR(__xludf.DUMMYFUNCTION("""COMPUTED_VALUE"""),"AMPG")</f>
        <v>AMPG</v>
      </c>
    </row>
    <row r="228">
      <c r="A228" s="1" t="str">
        <f>IFERROR(__xludf.DUMMYFUNCTION("""COMPUTED_VALUE"""),"AMPGW")</f>
        <v>AMPGW</v>
      </c>
    </row>
    <row r="229">
      <c r="A229" s="1" t="str">
        <f>IFERROR(__xludf.DUMMYFUNCTION("""COMPUTED_VALUE"""),"AMPH")</f>
        <v>AMPH</v>
      </c>
    </row>
    <row r="230">
      <c r="A230" s="1" t="str">
        <f>IFERROR(__xludf.DUMMYFUNCTION("""COMPUTED_VALUE"""),"AMRB")</f>
        <v>AMRB</v>
      </c>
    </row>
    <row r="231">
      <c r="A231" s="1" t="str">
        <f>IFERROR(__xludf.DUMMYFUNCTION("""COMPUTED_VALUE"""),"AMRK")</f>
        <v>AMRK</v>
      </c>
    </row>
    <row r="232">
      <c r="A232" s="1" t="str">
        <f>IFERROR(__xludf.DUMMYFUNCTION("""COMPUTED_VALUE"""),"AMRN")</f>
        <v>AMRN</v>
      </c>
    </row>
    <row r="233">
      <c r="A233" s="1" t="str">
        <f>IFERROR(__xludf.DUMMYFUNCTION("""COMPUTED_VALUE"""),"AMRS")</f>
        <v>AMRS</v>
      </c>
    </row>
    <row r="234">
      <c r="A234" s="1" t="str">
        <f>IFERROR(__xludf.DUMMYFUNCTION("""COMPUTED_VALUE"""),"AMSC")</f>
        <v>AMSC</v>
      </c>
    </row>
    <row r="235">
      <c r="A235" s="1" t="str">
        <f>IFERROR(__xludf.DUMMYFUNCTION("""COMPUTED_VALUE"""),"AMSF")</f>
        <v>AMSF</v>
      </c>
    </row>
    <row r="236">
      <c r="A236" s="1" t="str">
        <f>IFERROR(__xludf.DUMMYFUNCTION("""COMPUTED_VALUE"""),"AMST")</f>
        <v>AMST</v>
      </c>
    </row>
    <row r="237">
      <c r="A237" s="1" t="str">
        <f>IFERROR(__xludf.DUMMYFUNCTION("""COMPUTED_VALUE"""),"AMSWA")</f>
        <v>AMSWA</v>
      </c>
    </row>
    <row r="238">
      <c r="A238" s="1" t="str">
        <f>IFERROR(__xludf.DUMMYFUNCTION("""COMPUTED_VALUE"""),"AMTB")</f>
        <v>AMTB</v>
      </c>
    </row>
    <row r="239">
      <c r="A239" s="1" t="str">
        <f>IFERROR(__xludf.DUMMYFUNCTION("""COMPUTED_VALUE"""),"AMTBB")</f>
        <v>AMTBB</v>
      </c>
    </row>
    <row r="240">
      <c r="A240" s="1" t="str">
        <f>IFERROR(__xludf.DUMMYFUNCTION("""COMPUTED_VALUE"""),"AMTI")</f>
        <v>AMTI</v>
      </c>
    </row>
    <row r="241">
      <c r="A241" s="1" t="str">
        <f>IFERROR(__xludf.DUMMYFUNCTION("""COMPUTED_VALUE"""),"AMTX")</f>
        <v>AMTX</v>
      </c>
    </row>
    <row r="242">
      <c r="A242" s="1" t="str">
        <f>IFERROR(__xludf.DUMMYFUNCTION("""COMPUTED_VALUE"""),"AMWD")</f>
        <v>AMWD</v>
      </c>
    </row>
    <row r="243">
      <c r="A243" s="1" t="str">
        <f>IFERROR(__xludf.DUMMYFUNCTION("""COMPUTED_VALUE"""),"AMYT")</f>
        <v>AMYT</v>
      </c>
    </row>
    <row r="244">
      <c r="A244" s="1" t="str">
        <f>IFERROR(__xludf.DUMMYFUNCTION("""COMPUTED_VALUE"""),"AMZN")</f>
        <v>AMZN</v>
      </c>
    </row>
    <row r="245">
      <c r="A245" s="1" t="str">
        <f>IFERROR(__xludf.DUMMYFUNCTION("""COMPUTED_VALUE"""),"ANAB")</f>
        <v>ANAB</v>
      </c>
    </row>
    <row r="246">
      <c r="A246" s="1" t="str">
        <f>IFERROR(__xludf.DUMMYFUNCTION("""COMPUTED_VALUE"""),"ANAT")</f>
        <v>ANAT</v>
      </c>
    </row>
    <row r="247">
      <c r="A247" s="1" t="str">
        <f>IFERROR(__xludf.DUMMYFUNCTION("""COMPUTED_VALUE"""),"ANDE")</f>
        <v>ANDE</v>
      </c>
    </row>
    <row r="248">
      <c r="A248" s="1" t="str">
        <f>IFERROR(__xludf.DUMMYFUNCTION("""COMPUTED_VALUE"""),"ANEB")</f>
        <v>ANEB</v>
      </c>
    </row>
    <row r="249">
      <c r="A249" s="1" t="str">
        <f>IFERROR(__xludf.DUMMYFUNCTION("""COMPUTED_VALUE"""),"ANGI")</f>
        <v>ANGI</v>
      </c>
    </row>
    <row r="250">
      <c r="A250" s="1" t="str">
        <f>IFERROR(__xludf.DUMMYFUNCTION("""COMPUTED_VALUE"""),"ANGN")</f>
        <v>ANGN</v>
      </c>
    </row>
    <row r="251">
      <c r="A251" s="1" t="str">
        <f>IFERROR(__xludf.DUMMYFUNCTION("""COMPUTED_VALUE"""),"ANGO")</f>
        <v>ANGO</v>
      </c>
    </row>
    <row r="252">
      <c r="A252" s="1" t="str">
        <f>IFERROR(__xludf.DUMMYFUNCTION("""COMPUTED_VALUE"""),"ANIK")</f>
        <v>ANIK</v>
      </c>
    </row>
    <row r="253">
      <c r="A253" s="1" t="str">
        <f>IFERROR(__xludf.DUMMYFUNCTION("""COMPUTED_VALUE"""),"ANIP")</f>
        <v>ANIP</v>
      </c>
    </row>
    <row r="254">
      <c r="A254" s="1" t="str">
        <f>IFERROR(__xludf.DUMMYFUNCTION("""COMPUTED_VALUE"""),"ANIX")</f>
        <v>ANIX</v>
      </c>
    </row>
    <row r="255">
      <c r="A255" s="1" t="str">
        <f>IFERROR(__xludf.DUMMYFUNCTION("""COMPUTED_VALUE"""),"ANNX")</f>
        <v>ANNX</v>
      </c>
    </row>
    <row r="256">
      <c r="A256" s="1" t="str">
        <f>IFERROR(__xludf.DUMMYFUNCTION("""COMPUTED_VALUE"""),"ANPC")</f>
        <v>ANPC</v>
      </c>
    </row>
    <row r="257">
      <c r="A257" s="1" t="str">
        <f>IFERROR(__xludf.DUMMYFUNCTION("""COMPUTED_VALUE"""),"ANSS")</f>
        <v>ANSS</v>
      </c>
    </row>
    <row r="258">
      <c r="A258" s="1" t="str">
        <f>IFERROR(__xludf.DUMMYFUNCTION("""COMPUTED_VALUE"""),"ANTE")</f>
        <v>ANTE</v>
      </c>
    </row>
    <row r="259">
      <c r="A259" s="1" t="str">
        <f>IFERROR(__xludf.DUMMYFUNCTION("""COMPUTED_VALUE"""),"ANY")</f>
        <v>ANY</v>
      </c>
    </row>
    <row r="260">
      <c r="A260" s="1" t="str">
        <f>IFERROR(__xludf.DUMMYFUNCTION("""COMPUTED_VALUE"""),"ANZU")</f>
        <v>ANZU</v>
      </c>
    </row>
    <row r="261">
      <c r="A261" s="1" t="str">
        <f>IFERROR(__xludf.DUMMYFUNCTION("""COMPUTED_VALUE"""),"ANZUU")</f>
        <v>ANZUU</v>
      </c>
    </row>
    <row r="262">
      <c r="A262" s="1" t="str">
        <f>IFERROR(__xludf.DUMMYFUNCTION("""COMPUTED_VALUE"""),"ANZUW")</f>
        <v>ANZUW</v>
      </c>
    </row>
    <row r="263">
      <c r="A263" s="1" t="str">
        <f>IFERROR(__xludf.DUMMYFUNCTION("""COMPUTED_VALUE"""),"AOSL")</f>
        <v>AOSL</v>
      </c>
    </row>
    <row r="264">
      <c r="A264" s="1" t="str">
        <f>IFERROR(__xludf.DUMMYFUNCTION("""COMPUTED_VALUE"""),"AOUT")</f>
        <v>AOUT</v>
      </c>
    </row>
    <row r="265">
      <c r="A265" s="1" t="str">
        <f>IFERROR(__xludf.DUMMYFUNCTION("""COMPUTED_VALUE"""),"APA")</f>
        <v>APA</v>
      </c>
    </row>
    <row r="266">
      <c r="A266" s="1" t="str">
        <f>IFERROR(__xludf.DUMMYFUNCTION("""COMPUTED_VALUE"""),"APACU")</f>
        <v>APACU</v>
      </c>
    </row>
    <row r="267">
      <c r="A267" s="1" t="str">
        <f>IFERROR(__xludf.DUMMYFUNCTION("""COMPUTED_VALUE"""),"APDN")</f>
        <v>APDN</v>
      </c>
    </row>
    <row r="268">
      <c r="A268" s="1" t="str">
        <f>IFERROR(__xludf.DUMMYFUNCTION("""COMPUTED_VALUE"""),"APEI")</f>
        <v>APEI</v>
      </c>
    </row>
    <row r="269">
      <c r="A269" s="1" t="str">
        <f>IFERROR(__xludf.DUMMYFUNCTION("""COMPUTED_VALUE"""),"APEN")</f>
        <v>APEN</v>
      </c>
    </row>
    <row r="270">
      <c r="A270" s="1" t="str">
        <f>IFERROR(__xludf.DUMMYFUNCTION("""COMPUTED_VALUE"""),"API")</f>
        <v>API</v>
      </c>
    </row>
    <row r="271">
      <c r="A271" s="1" t="str">
        <f>IFERROR(__xludf.DUMMYFUNCTION("""COMPUTED_VALUE"""),"APLS")</f>
        <v>APLS</v>
      </c>
    </row>
    <row r="272">
      <c r="A272" s="1" t="str">
        <f>IFERROR(__xludf.DUMMYFUNCTION("""COMPUTED_VALUE"""),"APLT")</f>
        <v>APLT</v>
      </c>
    </row>
    <row r="273">
      <c r="A273" s="1" t="str">
        <f>IFERROR(__xludf.DUMMYFUNCTION("""COMPUTED_VALUE"""),"APM")</f>
        <v>APM</v>
      </c>
    </row>
    <row r="274">
      <c r="A274" s="1" t="str">
        <f>IFERROR(__xludf.DUMMYFUNCTION("""COMPUTED_VALUE"""),"APOG")</f>
        <v>APOG</v>
      </c>
    </row>
    <row r="275">
      <c r="A275" s="1" t="str">
        <f>IFERROR(__xludf.DUMMYFUNCTION("""COMPUTED_VALUE"""),"APOP")</f>
        <v>APOP</v>
      </c>
    </row>
    <row r="276">
      <c r="A276" s="1" t="str">
        <f>IFERROR(__xludf.DUMMYFUNCTION("""COMPUTED_VALUE"""),"APP")</f>
        <v>APP</v>
      </c>
    </row>
    <row r="277">
      <c r="A277" s="1" t="str">
        <f>IFERROR(__xludf.DUMMYFUNCTION("""COMPUTED_VALUE"""),"APPF")</f>
        <v>APPF</v>
      </c>
    </row>
    <row r="278">
      <c r="A278" s="1" t="str">
        <f>IFERROR(__xludf.DUMMYFUNCTION("""COMPUTED_VALUE"""),"APPH")</f>
        <v>APPH</v>
      </c>
    </row>
    <row r="279">
      <c r="A279" s="1" t="str">
        <f>IFERROR(__xludf.DUMMYFUNCTION("""COMPUTED_VALUE"""),"APPHW")</f>
        <v>APPHW</v>
      </c>
    </row>
    <row r="280">
      <c r="A280" s="1" t="str">
        <f>IFERROR(__xludf.DUMMYFUNCTION("""COMPUTED_VALUE"""),"APPN")</f>
        <v>APPN</v>
      </c>
    </row>
    <row r="281">
      <c r="A281" s="1" t="str">
        <f>IFERROR(__xludf.DUMMYFUNCTION("""COMPUTED_VALUE"""),"APPS")</f>
        <v>APPS</v>
      </c>
    </row>
    <row r="282">
      <c r="A282" s="1" t="str">
        <f>IFERROR(__xludf.DUMMYFUNCTION("""COMPUTED_VALUE"""),"APR")</f>
        <v>APR</v>
      </c>
    </row>
    <row r="283">
      <c r="A283" s="1" t="str">
        <f>IFERROR(__xludf.DUMMYFUNCTION("""COMPUTED_VALUE"""),"APRE")</f>
        <v>APRE</v>
      </c>
    </row>
    <row r="284">
      <c r="A284" s="1" t="str">
        <f>IFERROR(__xludf.DUMMYFUNCTION("""COMPUTED_VALUE"""),"APTMU")</f>
        <v>APTMU</v>
      </c>
    </row>
    <row r="285">
      <c r="A285" s="1" t="str">
        <f>IFERROR(__xludf.DUMMYFUNCTION("""COMPUTED_VALUE"""),"APTO")</f>
        <v>APTO</v>
      </c>
    </row>
    <row r="286">
      <c r="A286" s="1" t="str">
        <f>IFERROR(__xludf.DUMMYFUNCTION("""COMPUTED_VALUE"""),"APTX")</f>
        <v>APTX</v>
      </c>
    </row>
    <row r="287">
      <c r="A287" s="1" t="str">
        <f>IFERROR(__xludf.DUMMYFUNCTION("""COMPUTED_VALUE"""),"APVO")</f>
        <v>APVO</v>
      </c>
    </row>
    <row r="288">
      <c r="A288" s="1" t="str">
        <f>IFERROR(__xludf.DUMMYFUNCTION("""COMPUTED_VALUE"""),"APWC")</f>
        <v>APWC</v>
      </c>
    </row>
    <row r="289">
      <c r="A289" s="1" t="str">
        <f>IFERROR(__xludf.DUMMYFUNCTION("""COMPUTED_VALUE"""),"APYX")</f>
        <v>APYX</v>
      </c>
    </row>
    <row r="290">
      <c r="A290" s="1" t="str">
        <f>IFERROR(__xludf.DUMMYFUNCTION("""COMPUTED_VALUE"""),"AQB")</f>
        <v>AQB</v>
      </c>
    </row>
    <row r="291">
      <c r="A291" s="1" t="str">
        <f>IFERROR(__xludf.DUMMYFUNCTION("""COMPUTED_VALUE"""),"AQMS")</f>
        <v>AQMS</v>
      </c>
    </row>
    <row r="292">
      <c r="A292" s="1" t="str">
        <f>IFERROR(__xludf.DUMMYFUNCTION("""COMPUTED_VALUE"""),"AQST")</f>
        <v>AQST</v>
      </c>
    </row>
    <row r="293">
      <c r="A293" s="1" t="str">
        <f>IFERROR(__xludf.DUMMYFUNCTION("""COMPUTED_VALUE"""),"ARAV")</f>
        <v>ARAV</v>
      </c>
    </row>
    <row r="294">
      <c r="A294" s="1" t="str">
        <f>IFERROR(__xludf.DUMMYFUNCTION("""COMPUTED_VALUE"""),"ARAY")</f>
        <v>ARAY</v>
      </c>
    </row>
    <row r="295">
      <c r="A295" s="1" t="str">
        <f>IFERROR(__xludf.DUMMYFUNCTION("""COMPUTED_VALUE"""),"ARBG")</f>
        <v>ARBG</v>
      </c>
    </row>
    <row r="296">
      <c r="A296" s="1" t="str">
        <f>IFERROR(__xludf.DUMMYFUNCTION("""COMPUTED_VALUE"""),"ARBGU")</f>
        <v>ARBGU</v>
      </c>
    </row>
    <row r="297">
      <c r="A297" s="1" t="str">
        <f>IFERROR(__xludf.DUMMYFUNCTION("""COMPUTED_VALUE"""),"ARBGW")</f>
        <v>ARBGW</v>
      </c>
    </row>
    <row r="298">
      <c r="A298" s="1" t="str">
        <f>IFERROR(__xludf.DUMMYFUNCTION("""COMPUTED_VALUE"""),"ARCB")</f>
        <v>ARCB</v>
      </c>
    </row>
    <row r="299">
      <c r="A299" s="1" t="str">
        <f>IFERROR(__xludf.DUMMYFUNCTION("""COMPUTED_VALUE"""),"ARCC")</f>
        <v>ARCC</v>
      </c>
    </row>
    <row r="300">
      <c r="A300" s="1" t="str">
        <f>IFERROR(__xludf.DUMMYFUNCTION("""COMPUTED_VALUE"""),"ARCE")</f>
        <v>ARCE</v>
      </c>
    </row>
    <row r="301">
      <c r="A301" s="1" t="str">
        <f>IFERROR(__xludf.DUMMYFUNCTION("""COMPUTED_VALUE"""),"ARCT")</f>
        <v>ARCT</v>
      </c>
    </row>
    <row r="302">
      <c r="A302" s="1" t="str">
        <f>IFERROR(__xludf.DUMMYFUNCTION("""COMPUTED_VALUE"""),"ARDS")</f>
        <v>ARDS</v>
      </c>
    </row>
    <row r="303">
      <c r="A303" s="1" t="str">
        <f>IFERROR(__xludf.DUMMYFUNCTION("""COMPUTED_VALUE"""),"ARDX")</f>
        <v>ARDX</v>
      </c>
    </row>
    <row r="304">
      <c r="A304" s="1" t="str">
        <f>IFERROR(__xludf.DUMMYFUNCTION("""COMPUTED_VALUE"""),"AREC")</f>
        <v>AREC</v>
      </c>
    </row>
    <row r="305">
      <c r="A305" s="1" t="str">
        <f>IFERROR(__xludf.DUMMYFUNCTION("""COMPUTED_VALUE"""),"ARGX")</f>
        <v>ARGX</v>
      </c>
    </row>
    <row r="306">
      <c r="A306" s="1" t="str">
        <f>IFERROR(__xludf.DUMMYFUNCTION("""COMPUTED_VALUE"""),"ARKO")</f>
        <v>ARKO</v>
      </c>
    </row>
    <row r="307">
      <c r="A307" s="1" t="str">
        <f>IFERROR(__xludf.DUMMYFUNCTION("""COMPUTED_VALUE"""),"ARKOW")</f>
        <v>ARKOW</v>
      </c>
    </row>
    <row r="308">
      <c r="A308" s="1" t="str">
        <f>IFERROR(__xludf.DUMMYFUNCTION("""COMPUTED_VALUE"""),"ARKR")</f>
        <v>ARKR</v>
      </c>
    </row>
    <row r="309">
      <c r="A309" s="1" t="str">
        <f>IFERROR(__xludf.DUMMYFUNCTION("""COMPUTED_VALUE"""),"ARLP")</f>
        <v>ARLP</v>
      </c>
    </row>
    <row r="310">
      <c r="A310" s="1" t="str">
        <f>IFERROR(__xludf.DUMMYFUNCTION("""COMPUTED_VALUE"""),"ARNA")</f>
        <v>ARNA</v>
      </c>
    </row>
    <row r="311">
      <c r="A311" s="1" t="str">
        <f>IFERROR(__xludf.DUMMYFUNCTION("""COMPUTED_VALUE"""),"AROW")</f>
        <v>AROW</v>
      </c>
    </row>
    <row r="312">
      <c r="A312" s="1" t="str">
        <f>IFERROR(__xludf.DUMMYFUNCTION("""COMPUTED_VALUE"""),"ARPO")</f>
        <v>ARPO</v>
      </c>
    </row>
    <row r="313">
      <c r="A313" s="1" t="str">
        <f>IFERROR(__xludf.DUMMYFUNCTION("""COMPUTED_VALUE"""),"ARQT")</f>
        <v>ARQT</v>
      </c>
    </row>
    <row r="314">
      <c r="A314" s="1" t="str">
        <f>IFERROR(__xludf.DUMMYFUNCTION("""COMPUTED_VALUE"""),"ARRW")</f>
        <v>ARRW</v>
      </c>
    </row>
    <row r="315">
      <c r="A315" s="1" t="str">
        <f>IFERROR(__xludf.DUMMYFUNCTION("""COMPUTED_VALUE"""),"ARRWU")</f>
        <v>ARRWU</v>
      </c>
    </row>
    <row r="316">
      <c r="A316" s="1" t="str">
        <f>IFERROR(__xludf.DUMMYFUNCTION("""COMPUTED_VALUE"""),"ARRWW")</f>
        <v>ARRWW</v>
      </c>
    </row>
    <row r="317">
      <c r="A317" s="1" t="str">
        <f>IFERROR(__xludf.DUMMYFUNCTION("""COMPUTED_VALUE"""),"ARRY")</f>
        <v>ARRY</v>
      </c>
    </row>
    <row r="318">
      <c r="A318" s="1" t="str">
        <f>IFERROR(__xludf.DUMMYFUNCTION("""COMPUTED_VALUE"""),"ARTA")</f>
        <v>ARTA</v>
      </c>
    </row>
    <row r="319">
      <c r="A319" s="1" t="str">
        <f>IFERROR(__xludf.DUMMYFUNCTION("""COMPUTED_VALUE"""),"ARTAU")</f>
        <v>ARTAU</v>
      </c>
    </row>
    <row r="320">
      <c r="A320" s="1" t="str">
        <f>IFERROR(__xludf.DUMMYFUNCTION("""COMPUTED_VALUE"""),"ARTL")</f>
        <v>ARTL</v>
      </c>
    </row>
    <row r="321">
      <c r="A321" s="1" t="str">
        <f>IFERROR(__xludf.DUMMYFUNCTION("""COMPUTED_VALUE"""),"ARTLW")</f>
        <v>ARTLW</v>
      </c>
    </row>
    <row r="322">
      <c r="A322" s="1" t="str">
        <f>IFERROR(__xludf.DUMMYFUNCTION("""COMPUTED_VALUE"""),"ARTNA")</f>
        <v>ARTNA</v>
      </c>
    </row>
    <row r="323">
      <c r="A323" s="1" t="str">
        <f>IFERROR(__xludf.DUMMYFUNCTION("""COMPUTED_VALUE"""),"ARTW")</f>
        <v>ARTW</v>
      </c>
    </row>
    <row r="324">
      <c r="A324" s="1" t="str">
        <f>IFERROR(__xludf.DUMMYFUNCTION("""COMPUTED_VALUE"""),"ARVL")</f>
        <v>ARVL</v>
      </c>
    </row>
    <row r="325">
      <c r="A325" s="1" t="str">
        <f>IFERROR(__xludf.DUMMYFUNCTION("""COMPUTED_VALUE"""),"ARVN")</f>
        <v>ARVN</v>
      </c>
    </row>
    <row r="326">
      <c r="A326" s="1" t="str">
        <f>IFERROR(__xludf.DUMMYFUNCTION("""COMPUTED_VALUE"""),"ARWR")</f>
        <v>ARWR</v>
      </c>
    </row>
    <row r="327">
      <c r="A327" s="1" t="str">
        <f>IFERROR(__xludf.DUMMYFUNCTION("""COMPUTED_VALUE"""),"ARYD")</f>
        <v>ARYD</v>
      </c>
    </row>
    <row r="328">
      <c r="A328" s="1" t="str">
        <f>IFERROR(__xludf.DUMMYFUNCTION("""COMPUTED_VALUE"""),"ARYE")</f>
        <v>ARYE</v>
      </c>
    </row>
    <row r="329">
      <c r="A329" s="1" t="str">
        <f>IFERROR(__xludf.DUMMYFUNCTION("""COMPUTED_VALUE"""),"ASAX")</f>
        <v>ASAX</v>
      </c>
    </row>
    <row r="330">
      <c r="A330" s="1" t="str">
        <f>IFERROR(__xludf.DUMMYFUNCTION("""COMPUTED_VALUE"""),"ASAXU")</f>
        <v>ASAXU</v>
      </c>
    </row>
    <row r="331">
      <c r="A331" s="1" t="str">
        <f>IFERROR(__xludf.DUMMYFUNCTION("""COMPUTED_VALUE"""),"ASAXW")</f>
        <v>ASAXW</v>
      </c>
    </row>
    <row r="332">
      <c r="A332" s="1" t="str">
        <f>IFERROR(__xludf.DUMMYFUNCTION("""COMPUTED_VALUE"""),"ASLE")</f>
        <v>ASLE</v>
      </c>
    </row>
    <row r="333">
      <c r="A333" s="1" t="str">
        <f>IFERROR(__xludf.DUMMYFUNCTION("""COMPUTED_VALUE"""),"ASLEW")</f>
        <v>ASLEW</v>
      </c>
    </row>
    <row r="334">
      <c r="A334" s="1" t="str">
        <f>IFERROR(__xludf.DUMMYFUNCTION("""COMPUTED_VALUE"""),"ASLN")</f>
        <v>ASLN</v>
      </c>
    </row>
    <row r="335">
      <c r="A335" s="1" t="str">
        <f>IFERROR(__xludf.DUMMYFUNCTION("""COMPUTED_VALUE"""),"ASMB")</f>
        <v>ASMB</v>
      </c>
    </row>
    <row r="336">
      <c r="A336" s="1" t="str">
        <f>IFERROR(__xludf.DUMMYFUNCTION("""COMPUTED_VALUE"""),"ASML")</f>
        <v>ASML</v>
      </c>
    </row>
    <row r="337">
      <c r="A337" s="1" t="str">
        <f>IFERROR(__xludf.DUMMYFUNCTION("""COMPUTED_VALUE"""),"ASND")</f>
        <v>ASND</v>
      </c>
    </row>
    <row r="338">
      <c r="A338" s="1" t="str">
        <f>IFERROR(__xludf.DUMMYFUNCTION("""COMPUTED_VALUE"""),"ASO")</f>
        <v>ASO</v>
      </c>
    </row>
    <row r="339">
      <c r="A339" s="1" t="str">
        <f>IFERROR(__xludf.DUMMYFUNCTION("""COMPUTED_VALUE"""),"ASPC")</f>
        <v>ASPC</v>
      </c>
    </row>
    <row r="340">
      <c r="A340" s="1" t="str">
        <f>IFERROR(__xludf.DUMMYFUNCTION("""COMPUTED_VALUE"""),"ASPCU")</f>
        <v>ASPCU</v>
      </c>
    </row>
    <row r="341">
      <c r="A341" s="1" t="str">
        <f>IFERROR(__xludf.DUMMYFUNCTION("""COMPUTED_VALUE"""),"ASPS")</f>
        <v>ASPS</v>
      </c>
    </row>
    <row r="342">
      <c r="A342" s="1" t="str">
        <f>IFERROR(__xludf.DUMMYFUNCTION("""COMPUTED_VALUE"""),"ASPU")</f>
        <v>ASPU</v>
      </c>
    </row>
    <row r="343">
      <c r="A343" s="1" t="str">
        <f>IFERROR(__xludf.DUMMYFUNCTION("""COMPUTED_VALUE"""),"ASRT")</f>
        <v>ASRT</v>
      </c>
    </row>
    <row r="344">
      <c r="A344" s="1" t="str">
        <f>IFERROR(__xludf.DUMMYFUNCTION("""COMPUTED_VALUE"""),"ASRV")</f>
        <v>ASRV</v>
      </c>
    </row>
    <row r="345">
      <c r="A345" s="1" t="str">
        <f>IFERROR(__xludf.DUMMYFUNCTION("""COMPUTED_VALUE"""),"ASRVP")</f>
        <v>ASRVP</v>
      </c>
    </row>
    <row r="346">
      <c r="A346" s="1" t="str">
        <f>IFERROR(__xludf.DUMMYFUNCTION("""COMPUTED_VALUE"""),"ASTC")</f>
        <v>ASTC</v>
      </c>
    </row>
    <row r="347">
      <c r="A347" s="1" t="str">
        <f>IFERROR(__xludf.DUMMYFUNCTION("""COMPUTED_VALUE"""),"ASTE")</f>
        <v>ASTE</v>
      </c>
    </row>
    <row r="348">
      <c r="A348" s="1" t="str">
        <f>IFERROR(__xludf.DUMMYFUNCTION("""COMPUTED_VALUE"""),"ASTR")</f>
        <v>ASTR</v>
      </c>
    </row>
    <row r="349">
      <c r="A349" s="1" t="str">
        <f>IFERROR(__xludf.DUMMYFUNCTION("""COMPUTED_VALUE"""),"ASTRW")</f>
        <v>ASTRW</v>
      </c>
    </row>
    <row r="350">
      <c r="A350" s="1" t="str">
        <f>IFERROR(__xludf.DUMMYFUNCTION("""COMPUTED_VALUE"""),"ASTS")</f>
        <v>ASTS</v>
      </c>
    </row>
    <row r="351">
      <c r="A351" s="1" t="str">
        <f>IFERROR(__xludf.DUMMYFUNCTION("""COMPUTED_VALUE"""),"ASTSW")</f>
        <v>ASTSW</v>
      </c>
    </row>
    <row r="352">
      <c r="A352" s="1" t="str">
        <f>IFERROR(__xludf.DUMMYFUNCTION("""COMPUTED_VALUE"""),"ASUR")</f>
        <v>ASUR</v>
      </c>
    </row>
    <row r="353">
      <c r="A353" s="1" t="str">
        <f>IFERROR(__xludf.DUMMYFUNCTION("""COMPUTED_VALUE"""),"ASYS")</f>
        <v>ASYS</v>
      </c>
    </row>
    <row r="354">
      <c r="A354" s="1" t="str">
        <f>IFERROR(__xludf.DUMMYFUNCTION("""COMPUTED_VALUE"""),"ATAI")</f>
        <v>ATAI</v>
      </c>
    </row>
    <row r="355">
      <c r="A355" s="1" t="str">
        <f>IFERROR(__xludf.DUMMYFUNCTION("""COMPUTED_VALUE"""),"ATAX")</f>
        <v>ATAX</v>
      </c>
    </row>
    <row r="356">
      <c r="A356" s="1" t="str">
        <f>IFERROR(__xludf.DUMMYFUNCTION("""COMPUTED_VALUE"""),"ATCX")</f>
        <v>ATCX</v>
      </c>
    </row>
    <row r="357">
      <c r="A357" s="1" t="str">
        <f>IFERROR(__xludf.DUMMYFUNCTION("""COMPUTED_VALUE"""),"ATEC")</f>
        <v>ATEC</v>
      </c>
    </row>
    <row r="358">
      <c r="A358" s="1" t="str">
        <f>IFERROR(__xludf.DUMMYFUNCTION("""COMPUTED_VALUE"""),"ATER")</f>
        <v>ATER</v>
      </c>
    </row>
    <row r="359">
      <c r="A359" s="1" t="str">
        <f>IFERROR(__xludf.DUMMYFUNCTION("""COMPUTED_VALUE"""),"ATEX")</f>
        <v>ATEX</v>
      </c>
    </row>
    <row r="360">
      <c r="A360" s="1" t="str">
        <f>IFERROR(__xludf.DUMMYFUNCTION("""COMPUTED_VALUE"""),"ATHA")</f>
        <v>ATHA</v>
      </c>
    </row>
    <row r="361">
      <c r="A361" s="1" t="str">
        <f>IFERROR(__xludf.DUMMYFUNCTION("""COMPUTED_VALUE"""),"ATHE")</f>
        <v>ATHE</v>
      </c>
    </row>
    <row r="362">
      <c r="A362" s="1" t="str">
        <f>IFERROR(__xludf.DUMMYFUNCTION("""COMPUTED_VALUE"""),"ATHX")</f>
        <v>ATHX</v>
      </c>
    </row>
    <row r="363">
      <c r="A363" s="1" t="str">
        <f>IFERROR(__xludf.DUMMYFUNCTION("""COMPUTED_VALUE"""),"ATIF")</f>
        <v>ATIF</v>
      </c>
    </row>
    <row r="364">
      <c r="A364" s="1" t="str">
        <f>IFERROR(__xludf.DUMMYFUNCTION("""COMPUTED_VALUE"""),"ATLC")</f>
        <v>ATLC</v>
      </c>
    </row>
    <row r="365">
      <c r="A365" s="1" t="str">
        <f>IFERROR(__xludf.DUMMYFUNCTION("""COMPUTED_VALUE"""),"ATLCP")</f>
        <v>ATLCP</v>
      </c>
    </row>
    <row r="366">
      <c r="A366" s="1" t="str">
        <f>IFERROR(__xludf.DUMMYFUNCTION("""COMPUTED_VALUE"""),"ATLO")</f>
        <v>ATLO</v>
      </c>
    </row>
    <row r="367">
      <c r="A367" s="1" t="str">
        <f>IFERROR(__xludf.DUMMYFUNCTION("""COMPUTED_VALUE"""),"ATNF")</f>
        <v>ATNF</v>
      </c>
    </row>
    <row r="368">
      <c r="A368" s="1" t="str">
        <f>IFERROR(__xludf.DUMMYFUNCTION("""COMPUTED_VALUE"""),"ATNFW")</f>
        <v>ATNFW</v>
      </c>
    </row>
    <row r="369">
      <c r="A369" s="1" t="str">
        <f>IFERROR(__xludf.DUMMYFUNCTION("""COMPUTED_VALUE"""),"ATNI")</f>
        <v>ATNI</v>
      </c>
    </row>
    <row r="370">
      <c r="A370" s="1" t="str">
        <f>IFERROR(__xludf.DUMMYFUNCTION("""COMPUTED_VALUE"""),"ATNX")</f>
        <v>ATNX</v>
      </c>
    </row>
    <row r="371">
      <c r="A371" s="1" t="str">
        <f>IFERROR(__xludf.DUMMYFUNCTION("""COMPUTED_VALUE"""),"ATOM")</f>
        <v>ATOM</v>
      </c>
    </row>
    <row r="372">
      <c r="A372" s="1" t="str">
        <f>IFERROR(__xludf.DUMMYFUNCTION("""COMPUTED_VALUE"""),"ATOS")</f>
        <v>ATOS</v>
      </c>
    </row>
    <row r="373">
      <c r="A373" s="1" t="str">
        <f>IFERROR(__xludf.DUMMYFUNCTION("""COMPUTED_VALUE"""),"ATRA")</f>
        <v>ATRA</v>
      </c>
    </row>
    <row r="374">
      <c r="A374" s="1" t="str">
        <f>IFERROR(__xludf.DUMMYFUNCTION("""COMPUTED_VALUE"""),"ATRC")</f>
        <v>ATRC</v>
      </c>
    </row>
    <row r="375">
      <c r="A375" s="1" t="str">
        <f>IFERROR(__xludf.DUMMYFUNCTION("""COMPUTED_VALUE"""),"ATRI")</f>
        <v>ATRI</v>
      </c>
    </row>
    <row r="376">
      <c r="A376" s="1" t="str">
        <f>IFERROR(__xludf.DUMMYFUNCTION("""COMPUTED_VALUE"""),"ATRO")</f>
        <v>ATRO</v>
      </c>
    </row>
    <row r="377">
      <c r="A377" s="1" t="str">
        <f>IFERROR(__xludf.DUMMYFUNCTION("""COMPUTED_VALUE"""),"ATRS")</f>
        <v>ATRS</v>
      </c>
    </row>
    <row r="378">
      <c r="A378" s="1" t="str">
        <f>IFERROR(__xludf.DUMMYFUNCTION("""COMPUTED_VALUE"""),"ATSG")</f>
        <v>ATSG</v>
      </c>
    </row>
    <row r="379">
      <c r="A379" s="1" t="str">
        <f>IFERROR(__xludf.DUMMYFUNCTION("""COMPUTED_VALUE"""),"ATSPU")</f>
        <v>ATSPU</v>
      </c>
    </row>
    <row r="380">
      <c r="A380" s="1" t="str">
        <f>IFERROR(__xludf.DUMMYFUNCTION("""COMPUTED_VALUE"""),"ATSPW")</f>
        <v>ATSPW</v>
      </c>
    </row>
    <row r="381">
      <c r="A381" s="1" t="str">
        <f>IFERROR(__xludf.DUMMYFUNCTION("""COMPUTED_VALUE"""),"ATVCW")</f>
        <v>ATVCW</v>
      </c>
    </row>
    <row r="382">
      <c r="A382" s="1" t="str">
        <f>IFERROR(__xludf.DUMMYFUNCTION("""COMPUTED_VALUE"""),"ATVI")</f>
        <v>ATVI</v>
      </c>
    </row>
    <row r="383">
      <c r="A383" s="1" t="str">
        <f>IFERROR(__xludf.DUMMYFUNCTION("""COMPUTED_VALUE"""),"ATXI")</f>
        <v>ATXI</v>
      </c>
    </row>
    <row r="384">
      <c r="A384" s="1" t="str">
        <f>IFERROR(__xludf.DUMMYFUNCTION("""COMPUTED_VALUE"""),"ATY")</f>
        <v>ATY</v>
      </c>
    </row>
    <row r="385">
      <c r="A385" s="1" t="str">
        <f>IFERROR(__xludf.DUMMYFUNCTION("""COMPUTED_VALUE"""),"AUB")</f>
        <v>AUB</v>
      </c>
    </row>
    <row r="386">
      <c r="A386" s="1" t="str">
        <f>IFERROR(__xludf.DUMMYFUNCTION("""COMPUTED_VALUE"""),"AUBAP")</f>
        <v>AUBAP</v>
      </c>
    </row>
    <row r="387">
      <c r="A387" s="1" t="str">
        <f>IFERROR(__xludf.DUMMYFUNCTION("""COMPUTED_VALUE"""),"AUBN")</f>
        <v>AUBN</v>
      </c>
    </row>
    <row r="388">
      <c r="A388" s="1" t="str">
        <f>IFERROR(__xludf.DUMMYFUNCTION("""COMPUTED_VALUE"""),"AUDC")</f>
        <v>AUDC</v>
      </c>
    </row>
    <row r="389">
      <c r="A389" s="1" t="str">
        <f>IFERROR(__xludf.DUMMYFUNCTION("""COMPUTED_VALUE"""),"AUPH")</f>
        <v>AUPH</v>
      </c>
    </row>
    <row r="390">
      <c r="A390" s="1" t="str">
        <f>IFERROR(__xludf.DUMMYFUNCTION("""COMPUTED_VALUE"""),"AURC")</f>
        <v>AURC</v>
      </c>
    </row>
    <row r="391">
      <c r="A391" s="1" t="str">
        <f>IFERROR(__xludf.DUMMYFUNCTION("""COMPUTED_VALUE"""),"AURCU")</f>
        <v>AURCU</v>
      </c>
    </row>
    <row r="392">
      <c r="A392" s="1" t="str">
        <f>IFERROR(__xludf.DUMMYFUNCTION("""COMPUTED_VALUE"""),"AURCW")</f>
        <v>AURCW</v>
      </c>
    </row>
    <row r="393">
      <c r="A393" s="1" t="str">
        <f>IFERROR(__xludf.DUMMYFUNCTION("""COMPUTED_VALUE"""),"AUTL")</f>
        <v>AUTL</v>
      </c>
    </row>
    <row r="394">
      <c r="A394" s="1" t="str">
        <f>IFERROR(__xludf.DUMMYFUNCTION("""COMPUTED_VALUE"""),"AUTO")</f>
        <v>AUTO</v>
      </c>
    </row>
    <row r="395">
      <c r="A395" s="1" t="str">
        <f>IFERROR(__xludf.DUMMYFUNCTION("""COMPUTED_VALUE"""),"AUUD")</f>
        <v>AUUD</v>
      </c>
    </row>
    <row r="396">
      <c r="A396" s="1" t="str">
        <f>IFERROR(__xludf.DUMMYFUNCTION("""COMPUTED_VALUE"""),"AUUDW")</f>
        <v>AUUDW</v>
      </c>
    </row>
    <row r="397">
      <c r="A397" s="1" t="str">
        <f>IFERROR(__xludf.DUMMYFUNCTION("""COMPUTED_VALUE"""),"AUVI")</f>
        <v>AUVI</v>
      </c>
    </row>
    <row r="398">
      <c r="A398" s="1" t="str">
        <f>IFERROR(__xludf.DUMMYFUNCTION("""COMPUTED_VALUE"""),"AUVIP")</f>
        <v>AUVIP</v>
      </c>
    </row>
    <row r="399">
      <c r="A399" s="1" t="str">
        <f>IFERROR(__xludf.DUMMYFUNCTION("""COMPUTED_VALUE"""),"AVAH")</f>
        <v>AVAH</v>
      </c>
    </row>
    <row r="400">
      <c r="A400" s="1" t="str">
        <f>IFERROR(__xludf.DUMMYFUNCTION("""COMPUTED_VALUE"""),"AVAV")</f>
        <v>AVAV</v>
      </c>
    </row>
    <row r="401">
      <c r="A401" s="1" t="str">
        <f>IFERROR(__xludf.DUMMYFUNCTION("""COMPUTED_VALUE"""),"AVCO")</f>
        <v>AVCO</v>
      </c>
    </row>
    <row r="402">
      <c r="A402" s="1" t="str">
        <f>IFERROR(__xludf.DUMMYFUNCTION("""COMPUTED_VALUE"""),"AVCT")</f>
        <v>AVCT</v>
      </c>
    </row>
    <row r="403">
      <c r="A403" s="1" t="str">
        <f>IFERROR(__xludf.DUMMYFUNCTION("""COMPUTED_VALUE"""),"AVCTW")</f>
        <v>AVCTW</v>
      </c>
    </row>
    <row r="404">
      <c r="A404" s="1" t="str">
        <f>IFERROR(__xludf.DUMMYFUNCTION("""COMPUTED_VALUE"""),"AVDL")</f>
        <v>AVDL</v>
      </c>
    </row>
    <row r="405">
      <c r="A405" s="1" t="str">
        <f>IFERROR(__xludf.DUMMYFUNCTION("""COMPUTED_VALUE"""),"AVEO")</f>
        <v>AVEO</v>
      </c>
    </row>
    <row r="406">
      <c r="A406" s="1" t="str">
        <f>IFERROR(__xludf.DUMMYFUNCTION("""COMPUTED_VALUE"""),"AVGO")</f>
        <v>AVGO</v>
      </c>
    </row>
    <row r="407">
      <c r="A407" s="1" t="str">
        <f>IFERROR(__xludf.DUMMYFUNCTION("""COMPUTED_VALUE"""),"AVGOP")</f>
        <v>AVGOP</v>
      </c>
    </row>
    <row r="408">
      <c r="A408" s="1" t="str">
        <f>IFERROR(__xludf.DUMMYFUNCTION("""COMPUTED_VALUE"""),"AVGR")</f>
        <v>AVGR</v>
      </c>
    </row>
    <row r="409">
      <c r="A409" s="1" t="str">
        <f>IFERROR(__xludf.DUMMYFUNCTION("""COMPUTED_VALUE"""),"AVID")</f>
        <v>AVID</v>
      </c>
    </row>
    <row r="410">
      <c r="A410" s="1" t="str">
        <f>IFERROR(__xludf.DUMMYFUNCTION("""COMPUTED_VALUE"""),"AVIR")</f>
        <v>AVIR</v>
      </c>
    </row>
    <row r="411">
      <c r="A411" s="1" t="str">
        <f>IFERROR(__xludf.DUMMYFUNCTION("""COMPUTED_VALUE"""),"AVNW")</f>
        <v>AVNW</v>
      </c>
    </row>
    <row r="412">
      <c r="A412" s="1" t="str">
        <f>IFERROR(__xludf.DUMMYFUNCTION("""COMPUTED_VALUE"""),"AVO")</f>
        <v>AVO</v>
      </c>
    </row>
    <row r="413">
      <c r="A413" s="1" t="str">
        <f>IFERROR(__xludf.DUMMYFUNCTION("""COMPUTED_VALUE"""),"AVPT")</f>
        <v>AVPT</v>
      </c>
    </row>
    <row r="414">
      <c r="A414" s="1" t="str">
        <f>IFERROR(__xludf.DUMMYFUNCTION("""COMPUTED_VALUE"""),"AVPTW")</f>
        <v>AVPTW</v>
      </c>
    </row>
    <row r="415">
      <c r="A415" s="1" t="str">
        <f>IFERROR(__xludf.DUMMYFUNCTION("""COMPUTED_VALUE"""),"AVRO")</f>
        <v>AVRO</v>
      </c>
    </row>
    <row r="416">
      <c r="A416" s="1" t="str">
        <f>IFERROR(__xludf.DUMMYFUNCTION("""COMPUTED_VALUE"""),"AVT")</f>
        <v>AVT</v>
      </c>
    </row>
    <row r="417">
      <c r="A417" s="1" t="str">
        <f>IFERROR(__xludf.DUMMYFUNCTION("""COMPUTED_VALUE"""),"AVTE")</f>
        <v>AVTE</v>
      </c>
    </row>
    <row r="418">
      <c r="A418" s="1" t="str">
        <f>IFERROR(__xludf.DUMMYFUNCTION("""COMPUTED_VALUE"""),"AVXL")</f>
        <v>AVXL</v>
      </c>
    </row>
    <row r="419">
      <c r="A419" s="1" t="str">
        <f>IFERROR(__xludf.DUMMYFUNCTION("""COMPUTED_VALUE"""),"AWH")</f>
        <v>AWH</v>
      </c>
    </row>
    <row r="420">
      <c r="A420" s="1" t="str">
        <f>IFERROR(__xludf.DUMMYFUNCTION("""COMPUTED_VALUE"""),"AWRE")</f>
        <v>AWRE</v>
      </c>
    </row>
    <row r="421">
      <c r="A421" s="1" t="str">
        <f>IFERROR(__xludf.DUMMYFUNCTION("""COMPUTED_VALUE"""),"AXDX")</f>
        <v>AXDX</v>
      </c>
    </row>
    <row r="422">
      <c r="A422" s="1" t="str">
        <f>IFERROR(__xludf.DUMMYFUNCTION("""COMPUTED_VALUE"""),"AXGN")</f>
        <v>AXGN</v>
      </c>
    </row>
    <row r="423">
      <c r="A423" s="1" t="str">
        <f>IFERROR(__xludf.DUMMYFUNCTION("""COMPUTED_VALUE"""),"AXLA")</f>
        <v>AXLA</v>
      </c>
    </row>
    <row r="424">
      <c r="A424" s="1" t="str">
        <f>IFERROR(__xludf.DUMMYFUNCTION("""COMPUTED_VALUE"""),"AXNX")</f>
        <v>AXNX</v>
      </c>
    </row>
    <row r="425">
      <c r="A425" s="1" t="str">
        <f>IFERROR(__xludf.DUMMYFUNCTION("""COMPUTED_VALUE"""),"AXON")</f>
        <v>AXON</v>
      </c>
    </row>
    <row r="426">
      <c r="A426" s="1" t="str">
        <f>IFERROR(__xludf.DUMMYFUNCTION("""COMPUTED_VALUE"""),"AXSM")</f>
        <v>AXSM</v>
      </c>
    </row>
    <row r="427">
      <c r="A427" s="1" t="str">
        <f>IFERROR(__xludf.DUMMYFUNCTION("""COMPUTED_VALUE"""),"AXTI")</f>
        <v>AXTI</v>
      </c>
    </row>
    <row r="428">
      <c r="A428" s="1" t="str">
        <f>IFERROR(__xludf.DUMMYFUNCTION("""COMPUTED_VALUE"""),"AY")</f>
        <v>AY</v>
      </c>
    </row>
    <row r="429">
      <c r="A429" s="1" t="str">
        <f>IFERROR(__xludf.DUMMYFUNCTION("""COMPUTED_VALUE"""),"AYLA")</f>
        <v>AYLA</v>
      </c>
    </row>
    <row r="430">
      <c r="A430" s="1" t="str">
        <f>IFERROR(__xludf.DUMMYFUNCTION("""COMPUTED_VALUE"""),"AYRO")</f>
        <v>AYRO</v>
      </c>
    </row>
    <row r="431">
      <c r="A431" s="1" t="str">
        <f>IFERROR(__xludf.DUMMYFUNCTION("""COMPUTED_VALUE"""),"AYTU")</f>
        <v>AYTU</v>
      </c>
    </row>
    <row r="432">
      <c r="A432" s="1" t="str">
        <f>IFERROR(__xludf.DUMMYFUNCTION("""COMPUTED_VALUE"""),"AZN")</f>
        <v>AZN</v>
      </c>
    </row>
    <row r="433">
      <c r="A433" s="1" t="str">
        <f>IFERROR(__xludf.DUMMYFUNCTION("""COMPUTED_VALUE"""),"AZPN")</f>
        <v>AZPN</v>
      </c>
    </row>
    <row r="434">
      <c r="A434" s="1" t="str">
        <f>IFERROR(__xludf.DUMMYFUNCTION("""COMPUTED_VALUE"""),"AZRX")</f>
        <v>AZRX</v>
      </c>
    </row>
    <row r="435">
      <c r="A435" s="1" t="str">
        <f>IFERROR(__xludf.DUMMYFUNCTION("""COMPUTED_VALUE"""),"AZYO")</f>
        <v>AZYO</v>
      </c>
    </row>
    <row r="436">
      <c r="A436" s="1" t="str">
        <f>IFERROR(__xludf.DUMMYFUNCTION("""COMPUTED_VALUE"""),"BAND")</f>
        <v>BAND</v>
      </c>
    </row>
    <row r="437">
      <c r="A437" s="1" t="str">
        <f>IFERROR(__xludf.DUMMYFUNCTION("""COMPUTED_VALUE"""),"BANF")</f>
        <v>BANF</v>
      </c>
    </row>
    <row r="438">
      <c r="A438" s="1" t="str">
        <f>IFERROR(__xludf.DUMMYFUNCTION("""COMPUTED_VALUE"""),"BANFP")</f>
        <v>BANFP</v>
      </c>
    </row>
    <row r="439">
      <c r="A439" s="1" t="str">
        <f>IFERROR(__xludf.DUMMYFUNCTION("""COMPUTED_VALUE"""),"BANR")</f>
        <v>BANR</v>
      </c>
    </row>
    <row r="440">
      <c r="A440" s="1" t="str">
        <f>IFERROR(__xludf.DUMMYFUNCTION("""COMPUTED_VALUE"""),"BANX")</f>
        <v>BANX</v>
      </c>
    </row>
    <row r="441">
      <c r="A441" s="1" t="str">
        <f>IFERROR(__xludf.DUMMYFUNCTION("""COMPUTED_VALUE"""),"BAOS")</f>
        <v>BAOS</v>
      </c>
    </row>
    <row r="442">
      <c r="A442" s="1" t="str">
        <f>IFERROR(__xludf.DUMMYFUNCTION("""COMPUTED_VALUE"""),"BASE")</f>
        <v>BASE</v>
      </c>
    </row>
    <row r="443">
      <c r="A443" s="1" t="str">
        <f>IFERROR(__xludf.DUMMYFUNCTION("""COMPUTED_VALUE"""),"BATRA")</f>
        <v>BATRA</v>
      </c>
    </row>
    <row r="444">
      <c r="A444" s="1" t="str">
        <f>IFERROR(__xludf.DUMMYFUNCTION("""COMPUTED_VALUE"""),"BATRK")</f>
        <v>BATRK</v>
      </c>
    </row>
    <row r="445">
      <c r="A445" s="1" t="str">
        <f>IFERROR(__xludf.DUMMYFUNCTION("""COMPUTED_VALUE"""),"BBBY")</f>
        <v>BBBY</v>
      </c>
    </row>
    <row r="446">
      <c r="A446" s="1" t="str">
        <f>IFERROR(__xludf.DUMMYFUNCTION("""COMPUTED_VALUE"""),"BBCP")</f>
        <v>BBCP</v>
      </c>
    </row>
    <row r="447">
      <c r="A447" s="1" t="str">
        <f>IFERROR(__xludf.DUMMYFUNCTION("""COMPUTED_VALUE"""),"BBGI")</f>
        <v>BBGI</v>
      </c>
    </row>
    <row r="448">
      <c r="A448" s="1" t="str">
        <f>IFERROR(__xludf.DUMMYFUNCTION("""COMPUTED_VALUE"""),"BBI")</f>
        <v>BBI</v>
      </c>
    </row>
    <row r="449">
      <c r="A449" s="1" t="str">
        <f>IFERROR(__xludf.DUMMYFUNCTION("""COMPUTED_VALUE"""),"BBIG")</f>
        <v>BBIG</v>
      </c>
    </row>
    <row r="450">
      <c r="A450" s="1" t="str">
        <f>IFERROR(__xludf.DUMMYFUNCTION("""COMPUTED_VALUE"""),"BBIO")</f>
        <v>BBIO</v>
      </c>
    </row>
    <row r="451">
      <c r="A451" s="1" t="str">
        <f>IFERROR(__xludf.DUMMYFUNCTION("""COMPUTED_VALUE"""),"BBQ")</f>
        <v>BBQ</v>
      </c>
    </row>
    <row r="452">
      <c r="A452" s="1" t="str">
        <f>IFERROR(__xludf.DUMMYFUNCTION("""COMPUTED_VALUE"""),"BBSI")</f>
        <v>BBSI</v>
      </c>
    </row>
    <row r="453">
      <c r="A453" s="1" t="str">
        <f>IFERROR(__xludf.DUMMYFUNCTION("""COMPUTED_VALUE"""),"BCAB")</f>
        <v>BCAB</v>
      </c>
    </row>
    <row r="454">
      <c r="A454" s="1" t="str">
        <f>IFERROR(__xludf.DUMMYFUNCTION("""COMPUTED_VALUE"""),"BCAC")</f>
        <v>BCAC</v>
      </c>
    </row>
    <row r="455">
      <c r="A455" s="1" t="str">
        <f>IFERROR(__xludf.DUMMYFUNCTION("""COMPUTED_VALUE"""),"BCACU")</f>
        <v>BCACU</v>
      </c>
    </row>
    <row r="456">
      <c r="A456" s="1" t="str">
        <f>IFERROR(__xludf.DUMMYFUNCTION("""COMPUTED_VALUE"""),"BCACW")</f>
        <v>BCACW</v>
      </c>
    </row>
    <row r="457">
      <c r="A457" s="1" t="str">
        <f>IFERROR(__xludf.DUMMYFUNCTION("""COMPUTED_VALUE"""),"BCBP")</f>
        <v>BCBP</v>
      </c>
    </row>
    <row r="458">
      <c r="A458" s="1" t="str">
        <f>IFERROR(__xludf.DUMMYFUNCTION("""COMPUTED_VALUE"""),"BCDA")</f>
        <v>BCDA</v>
      </c>
    </row>
    <row r="459">
      <c r="A459" s="1" t="str">
        <f>IFERROR(__xludf.DUMMYFUNCTION("""COMPUTED_VALUE"""),"BCEL")</f>
        <v>BCEL</v>
      </c>
    </row>
    <row r="460">
      <c r="A460" s="1" t="str">
        <f>IFERROR(__xludf.DUMMYFUNCTION("""COMPUTED_VALUE"""),"BCLI")</f>
        <v>BCLI</v>
      </c>
    </row>
    <row r="461">
      <c r="A461" s="1" t="str">
        <f>IFERROR(__xludf.DUMMYFUNCTION("""COMPUTED_VALUE"""),"BCML")</f>
        <v>BCML</v>
      </c>
    </row>
    <row r="462">
      <c r="A462" s="1" t="str">
        <f>IFERROR(__xludf.DUMMYFUNCTION("""COMPUTED_VALUE"""),"BCOR")</f>
        <v>BCOR</v>
      </c>
    </row>
    <row r="463">
      <c r="A463" s="1" t="str">
        <f>IFERROR(__xludf.DUMMYFUNCTION("""COMPUTED_VALUE"""),"BCOV")</f>
        <v>BCOV</v>
      </c>
    </row>
    <row r="464">
      <c r="A464" s="1" t="str">
        <f>IFERROR(__xludf.DUMMYFUNCTION("""COMPUTED_VALUE"""),"BCOW")</f>
        <v>BCOW</v>
      </c>
    </row>
    <row r="465">
      <c r="A465" s="1" t="str">
        <f>IFERROR(__xludf.DUMMYFUNCTION("""COMPUTED_VALUE"""),"BCPC")</f>
        <v>BCPC</v>
      </c>
    </row>
    <row r="466">
      <c r="A466" s="1" t="str">
        <f>IFERROR(__xludf.DUMMYFUNCTION("""COMPUTED_VALUE"""),"BCRX")</f>
        <v>BCRX</v>
      </c>
    </row>
    <row r="467">
      <c r="A467" s="1" t="str">
        <f>IFERROR(__xludf.DUMMYFUNCTION("""COMPUTED_VALUE"""),"BCTG")</f>
        <v>BCTG</v>
      </c>
    </row>
    <row r="468">
      <c r="A468" s="1" t="str">
        <f>IFERROR(__xludf.DUMMYFUNCTION("""COMPUTED_VALUE"""),"BCTX")</f>
        <v>BCTX</v>
      </c>
    </row>
    <row r="469">
      <c r="A469" s="1" t="str">
        <f>IFERROR(__xludf.DUMMYFUNCTION("""COMPUTED_VALUE"""),"BCTXW")</f>
        <v>BCTXW</v>
      </c>
    </row>
    <row r="470">
      <c r="A470" s="1" t="str">
        <f>IFERROR(__xludf.DUMMYFUNCTION("""COMPUTED_VALUE"""),"BCYC")</f>
        <v>BCYC</v>
      </c>
    </row>
    <row r="471">
      <c r="A471" s="1" t="str">
        <f>IFERROR(__xludf.DUMMYFUNCTION("""COMPUTED_VALUE"""),"BCYP")</f>
        <v>BCYP</v>
      </c>
    </row>
    <row r="472">
      <c r="A472" s="1" t="str">
        <f>IFERROR(__xludf.DUMMYFUNCTION("""COMPUTED_VALUE"""),"BCYPU")</f>
        <v>BCYPU</v>
      </c>
    </row>
    <row r="473">
      <c r="A473" s="1" t="str">
        <f>IFERROR(__xludf.DUMMYFUNCTION("""COMPUTED_VALUE"""),"BCYPW")</f>
        <v>BCYPW</v>
      </c>
    </row>
    <row r="474">
      <c r="A474" s="1" t="str">
        <f>IFERROR(__xludf.DUMMYFUNCTION("""COMPUTED_VALUE"""),"BDSI")</f>
        <v>BDSI</v>
      </c>
    </row>
    <row r="475">
      <c r="A475" s="1" t="str">
        <f>IFERROR(__xludf.DUMMYFUNCTION("""COMPUTED_VALUE"""),"BDSX")</f>
        <v>BDSX</v>
      </c>
    </row>
    <row r="476">
      <c r="A476" s="1" t="str">
        <f>IFERROR(__xludf.DUMMYFUNCTION("""COMPUTED_VALUE"""),"BDTX")</f>
        <v>BDTX</v>
      </c>
    </row>
    <row r="477">
      <c r="A477" s="1" t="str">
        <f>IFERROR(__xludf.DUMMYFUNCTION("""COMPUTED_VALUE"""),"BEAM")</f>
        <v>BEAM</v>
      </c>
    </row>
    <row r="478">
      <c r="A478" s="1" t="str">
        <f>IFERROR(__xludf.DUMMYFUNCTION("""COMPUTED_VALUE"""),"BECN")</f>
        <v>BECN</v>
      </c>
    </row>
    <row r="479">
      <c r="A479" s="1" t="str">
        <f>IFERROR(__xludf.DUMMYFUNCTION("""COMPUTED_VALUE"""),"BEEM")</f>
        <v>BEEM</v>
      </c>
    </row>
    <row r="480">
      <c r="A480" s="1" t="str">
        <f>IFERROR(__xludf.DUMMYFUNCTION("""COMPUTED_VALUE"""),"BEEMW")</f>
        <v>BEEMW</v>
      </c>
    </row>
    <row r="481">
      <c r="A481" s="1" t="str">
        <f>IFERROR(__xludf.DUMMYFUNCTION("""COMPUTED_VALUE"""),"BELFA")</f>
        <v>BELFA</v>
      </c>
    </row>
    <row r="482">
      <c r="A482" s="1" t="str">
        <f>IFERROR(__xludf.DUMMYFUNCTION("""COMPUTED_VALUE"""),"BELFB")</f>
        <v>BELFB</v>
      </c>
    </row>
    <row r="483">
      <c r="A483" s="1" t="str">
        <f>IFERROR(__xludf.DUMMYFUNCTION("""COMPUTED_VALUE"""),"BENE")</f>
        <v>BENE</v>
      </c>
    </row>
    <row r="484">
      <c r="A484" s="1" t="str">
        <f>IFERROR(__xludf.DUMMYFUNCTION("""COMPUTED_VALUE"""),"BENER")</f>
        <v>BENER</v>
      </c>
    </row>
    <row r="485">
      <c r="A485" s="1" t="str">
        <f>IFERROR(__xludf.DUMMYFUNCTION("""COMPUTED_VALUE"""),"BENEU")</f>
        <v>BENEU</v>
      </c>
    </row>
    <row r="486">
      <c r="A486" s="1" t="str">
        <f>IFERROR(__xludf.DUMMYFUNCTION("""COMPUTED_VALUE"""),"BENEW")</f>
        <v>BENEW</v>
      </c>
    </row>
    <row r="487">
      <c r="A487" s="1" t="str">
        <f>IFERROR(__xludf.DUMMYFUNCTION("""COMPUTED_VALUE"""),"BFC")</f>
        <v>BFC</v>
      </c>
    </row>
    <row r="488">
      <c r="A488" s="1" t="str">
        <f>IFERROR(__xludf.DUMMYFUNCTION("""COMPUTED_VALUE"""),"BFI")</f>
        <v>BFI</v>
      </c>
    </row>
    <row r="489">
      <c r="A489" s="1" t="str">
        <f>IFERROR(__xludf.DUMMYFUNCTION("""COMPUTED_VALUE"""),"BFIIW")</f>
        <v>BFIIW</v>
      </c>
    </row>
    <row r="490">
      <c r="A490" s="1" t="str">
        <f>IFERROR(__xludf.DUMMYFUNCTION("""COMPUTED_VALUE"""),"BFIN")</f>
        <v>BFIN</v>
      </c>
    </row>
    <row r="491">
      <c r="A491" s="1" t="str">
        <f>IFERROR(__xludf.DUMMYFUNCTION("""COMPUTED_VALUE"""),"BFRA")</f>
        <v>BFRA</v>
      </c>
    </row>
    <row r="492">
      <c r="A492" s="1" t="str">
        <f>IFERROR(__xludf.DUMMYFUNCTION("""COMPUTED_VALUE"""),"BFST")</f>
        <v>BFST</v>
      </c>
    </row>
    <row r="493">
      <c r="A493" s="1" t="str">
        <f>IFERROR(__xludf.DUMMYFUNCTION("""COMPUTED_VALUE"""),"BGCP")</f>
        <v>BGCP</v>
      </c>
    </row>
    <row r="494">
      <c r="A494" s="1" t="str">
        <f>IFERROR(__xludf.DUMMYFUNCTION("""COMPUTED_VALUE"""),"BGFV")</f>
        <v>BGFV</v>
      </c>
    </row>
    <row r="495">
      <c r="A495" s="1" t="str">
        <f>IFERROR(__xludf.DUMMYFUNCTION("""COMPUTED_VALUE"""),"BGNE")</f>
        <v>BGNE</v>
      </c>
    </row>
    <row r="496">
      <c r="A496" s="1" t="str">
        <f>IFERROR(__xludf.DUMMYFUNCTION("""COMPUTED_VALUE"""),"BGRY")</f>
        <v>BGRY</v>
      </c>
    </row>
    <row r="497">
      <c r="A497" s="1" t="str">
        <f>IFERROR(__xludf.DUMMYFUNCTION("""COMPUTED_VALUE"""),"BGRYW")</f>
        <v>BGRYW</v>
      </c>
    </row>
    <row r="498">
      <c r="A498" s="1" t="str">
        <f>IFERROR(__xludf.DUMMYFUNCTION("""COMPUTED_VALUE"""),"BHAT")</f>
        <v>BHAT</v>
      </c>
    </row>
    <row r="499">
      <c r="A499" s="1" t="str">
        <f>IFERROR(__xludf.DUMMYFUNCTION("""COMPUTED_VALUE"""),"BHF")</f>
        <v>BHF</v>
      </c>
    </row>
    <row r="500">
      <c r="A500" s="1" t="str">
        <f>IFERROR(__xludf.DUMMYFUNCTION("""COMPUTED_VALUE"""),"BHFAL")</f>
        <v>BHFAL</v>
      </c>
    </row>
    <row r="501">
      <c r="A501" s="1" t="str">
        <f>IFERROR(__xludf.DUMMYFUNCTION("""COMPUTED_VALUE"""),"BHFAN")</f>
        <v>BHFAN</v>
      </c>
    </row>
    <row r="502">
      <c r="A502" s="1" t="str">
        <f>IFERROR(__xludf.DUMMYFUNCTION("""COMPUTED_VALUE"""),"BHFAO")</f>
        <v>BHFAO</v>
      </c>
    </row>
    <row r="503">
      <c r="A503" s="1" t="str">
        <f>IFERROR(__xludf.DUMMYFUNCTION("""COMPUTED_VALUE"""),"BHFAP")</f>
        <v>BHFAP</v>
      </c>
    </row>
    <row r="504">
      <c r="A504" s="1" t="str">
        <f>IFERROR(__xludf.DUMMYFUNCTION("""COMPUTED_VALUE"""),"BHSE")</f>
        <v>BHSE</v>
      </c>
    </row>
    <row r="505">
      <c r="A505" s="1" t="str">
        <f>IFERROR(__xludf.DUMMYFUNCTION("""COMPUTED_VALUE"""),"BHSEW")</f>
        <v>BHSEW</v>
      </c>
    </row>
    <row r="506">
      <c r="A506" s="1" t="str">
        <f>IFERROR(__xludf.DUMMYFUNCTION("""COMPUTED_VALUE"""),"BHTG")</f>
        <v>BHTG</v>
      </c>
    </row>
    <row r="507">
      <c r="A507" s="1" t="str">
        <f>IFERROR(__xludf.DUMMYFUNCTION("""COMPUTED_VALUE"""),"BIDU")</f>
        <v>BIDU</v>
      </c>
    </row>
    <row r="508">
      <c r="A508" s="1" t="str">
        <f>IFERROR(__xludf.DUMMYFUNCTION("""COMPUTED_VALUE"""),"BIGC")</f>
        <v>BIGC</v>
      </c>
    </row>
    <row r="509">
      <c r="A509" s="1" t="str">
        <f>IFERROR(__xludf.DUMMYFUNCTION("""COMPUTED_VALUE"""),"BIIB")</f>
        <v>BIIB</v>
      </c>
    </row>
    <row r="510">
      <c r="A510" s="1" t="str">
        <f>IFERROR(__xludf.DUMMYFUNCTION("""COMPUTED_VALUE"""),"BILI")</f>
        <v>BILI</v>
      </c>
    </row>
    <row r="511">
      <c r="A511" s="1" t="str">
        <f>IFERROR(__xludf.DUMMYFUNCTION("""COMPUTED_VALUE"""),"BIMI")</f>
        <v>BIMI</v>
      </c>
    </row>
    <row r="512">
      <c r="A512" s="1" t="str">
        <f>IFERROR(__xludf.DUMMYFUNCTION("""COMPUTED_VALUE"""),"BIOC")</f>
        <v>BIOC</v>
      </c>
    </row>
    <row r="513">
      <c r="A513" s="1" t="str">
        <f>IFERROR(__xludf.DUMMYFUNCTION("""COMPUTED_VALUE"""),"BIOL")</f>
        <v>BIOL</v>
      </c>
    </row>
    <row r="514">
      <c r="A514" s="1" t="str">
        <f>IFERROR(__xludf.DUMMYFUNCTION("""COMPUTED_VALUE"""),"BIOT")</f>
        <v>BIOT</v>
      </c>
    </row>
    <row r="515">
      <c r="A515" s="1" t="str">
        <f>IFERROR(__xludf.DUMMYFUNCTION("""COMPUTED_VALUE"""),"BIOTU")</f>
        <v>BIOTU</v>
      </c>
    </row>
    <row r="516">
      <c r="A516" s="1" t="str">
        <f>IFERROR(__xludf.DUMMYFUNCTION("""COMPUTED_VALUE"""),"BIOTW")</f>
        <v>BIOTW</v>
      </c>
    </row>
    <row r="517">
      <c r="A517" s="1" t="str">
        <f>IFERROR(__xludf.DUMMYFUNCTION("""COMPUTED_VALUE"""),"BIOX")</f>
        <v>BIOX</v>
      </c>
    </row>
    <row r="518">
      <c r="A518" s="1" t="str">
        <f>IFERROR(__xludf.DUMMYFUNCTION("""COMPUTED_VALUE"""),"BITF")</f>
        <v>BITF</v>
      </c>
    </row>
    <row r="519">
      <c r="A519" s="1" t="str">
        <f>IFERROR(__xludf.DUMMYFUNCTION("""COMPUTED_VALUE"""),"BIVI")</f>
        <v>BIVI</v>
      </c>
    </row>
    <row r="520">
      <c r="A520" s="1" t="str">
        <f>IFERROR(__xludf.DUMMYFUNCTION("""COMPUTED_VALUE"""),"BJRI")</f>
        <v>BJRI</v>
      </c>
    </row>
    <row r="521">
      <c r="A521" s="1" t="str">
        <f>IFERROR(__xludf.DUMMYFUNCTION("""COMPUTED_VALUE"""),"BKCC")</f>
        <v>BKCC</v>
      </c>
    </row>
    <row r="522">
      <c r="A522" s="1" t="str">
        <f>IFERROR(__xludf.DUMMYFUNCTION("""COMPUTED_VALUE"""),"BKEP")</f>
        <v>BKEP</v>
      </c>
    </row>
    <row r="523">
      <c r="A523" s="1" t="str">
        <f>IFERROR(__xludf.DUMMYFUNCTION("""COMPUTED_VALUE"""),"BKEPP")</f>
        <v>BKEPP</v>
      </c>
    </row>
    <row r="524">
      <c r="A524" s="1" t="str">
        <f>IFERROR(__xludf.DUMMYFUNCTION("""COMPUTED_VALUE"""),"BKNG")</f>
        <v>BKNG</v>
      </c>
    </row>
    <row r="525">
      <c r="A525" s="1" t="str">
        <f>IFERROR(__xludf.DUMMYFUNCTION("""COMPUTED_VALUE"""),"BKSC")</f>
        <v>BKSC</v>
      </c>
    </row>
    <row r="526">
      <c r="A526" s="1" t="str">
        <f>IFERROR(__xludf.DUMMYFUNCTION("""COMPUTED_VALUE"""),"BKYI")</f>
        <v>BKYI</v>
      </c>
    </row>
    <row r="527">
      <c r="A527" s="1" t="str">
        <f>IFERROR(__xludf.DUMMYFUNCTION("""COMPUTED_VALUE"""),"BL")</f>
        <v>BL</v>
      </c>
    </row>
    <row r="528">
      <c r="A528" s="1" t="str">
        <f>IFERROR(__xludf.DUMMYFUNCTION("""COMPUTED_VALUE"""),"BLBD")</f>
        <v>BLBD</v>
      </c>
    </row>
    <row r="529">
      <c r="A529" s="1" t="str">
        <f>IFERROR(__xludf.DUMMYFUNCTION("""COMPUTED_VALUE"""),"BLCM")</f>
        <v>BLCM</v>
      </c>
    </row>
    <row r="530">
      <c r="A530" s="1" t="str">
        <f>IFERROR(__xludf.DUMMYFUNCTION("""COMPUTED_VALUE"""),"BLCT")</f>
        <v>BLCT</v>
      </c>
    </row>
    <row r="531">
      <c r="A531" s="1" t="str">
        <f>IFERROR(__xludf.DUMMYFUNCTION("""COMPUTED_VALUE"""),"BLDE")</f>
        <v>BLDE</v>
      </c>
    </row>
    <row r="532">
      <c r="A532" s="1" t="str">
        <f>IFERROR(__xludf.DUMMYFUNCTION("""COMPUTED_VALUE"""),"BLDEW")</f>
        <v>BLDEW</v>
      </c>
    </row>
    <row r="533">
      <c r="A533" s="1" t="str">
        <f>IFERROR(__xludf.DUMMYFUNCTION("""COMPUTED_VALUE"""),"BLDP")</f>
        <v>BLDP</v>
      </c>
    </row>
    <row r="534">
      <c r="A534" s="1" t="str">
        <f>IFERROR(__xludf.DUMMYFUNCTION("""COMPUTED_VALUE"""),"BLFS")</f>
        <v>BLFS</v>
      </c>
    </row>
    <row r="535">
      <c r="A535" s="1" t="str">
        <f>IFERROR(__xludf.DUMMYFUNCTION("""COMPUTED_VALUE"""),"BLFY")</f>
        <v>BLFY</v>
      </c>
    </row>
    <row r="536">
      <c r="A536" s="1" t="str">
        <f>IFERROR(__xludf.DUMMYFUNCTION("""COMPUTED_VALUE"""),"BLI")</f>
        <v>BLI</v>
      </c>
    </row>
    <row r="537">
      <c r="A537" s="1" t="str">
        <f>IFERROR(__xludf.DUMMYFUNCTION("""COMPUTED_VALUE"""),"BLIN")</f>
        <v>BLIN</v>
      </c>
    </row>
    <row r="538">
      <c r="A538" s="1" t="str">
        <f>IFERROR(__xludf.DUMMYFUNCTION("""COMPUTED_VALUE"""),"BLKB")</f>
        <v>BLKB</v>
      </c>
    </row>
    <row r="539">
      <c r="A539" s="1" t="str">
        <f>IFERROR(__xludf.DUMMYFUNCTION("""COMPUTED_VALUE"""),"BLMN")</f>
        <v>BLMN</v>
      </c>
    </row>
    <row r="540">
      <c r="A540" s="1" t="str">
        <f>IFERROR(__xludf.DUMMYFUNCTION("""COMPUTED_VALUE"""),"BLNGU")</f>
        <v>BLNGU</v>
      </c>
    </row>
    <row r="541">
      <c r="A541" s="1" t="str">
        <f>IFERROR(__xludf.DUMMYFUNCTION("""COMPUTED_VALUE"""),"BLNK")</f>
        <v>BLNK</v>
      </c>
    </row>
    <row r="542">
      <c r="A542" s="1" t="str">
        <f>IFERROR(__xludf.DUMMYFUNCTION("""COMPUTED_VALUE"""),"BLNKW")</f>
        <v>BLNKW</v>
      </c>
    </row>
    <row r="543">
      <c r="A543" s="1" t="str">
        <f>IFERROR(__xludf.DUMMYFUNCTION("""COMPUTED_VALUE"""),"BLPH")</f>
        <v>BLPH</v>
      </c>
    </row>
    <row r="544">
      <c r="A544" s="1" t="str">
        <f>IFERROR(__xludf.DUMMYFUNCTION("""COMPUTED_VALUE"""),"BLRX")</f>
        <v>BLRX</v>
      </c>
    </row>
    <row r="545">
      <c r="A545" s="1" t="str">
        <f>IFERROR(__xludf.DUMMYFUNCTION("""COMPUTED_VALUE"""),"BLSA")</f>
        <v>BLSA</v>
      </c>
    </row>
    <row r="546">
      <c r="A546" s="1" t="str">
        <f>IFERROR(__xludf.DUMMYFUNCTION("""COMPUTED_VALUE"""),"BLTS")</f>
        <v>BLTS</v>
      </c>
    </row>
    <row r="547">
      <c r="A547" s="1" t="str">
        <f>IFERROR(__xludf.DUMMYFUNCTION("""COMPUTED_VALUE"""),"BLTSU")</f>
        <v>BLTSU</v>
      </c>
    </row>
    <row r="548">
      <c r="A548" s="1" t="str">
        <f>IFERROR(__xludf.DUMMYFUNCTION("""COMPUTED_VALUE"""),"BLTSW")</f>
        <v>BLTSW</v>
      </c>
    </row>
    <row r="549">
      <c r="A549" s="1" t="str">
        <f>IFERROR(__xludf.DUMMYFUNCTION("""COMPUTED_VALUE"""),"BLU")</f>
        <v>BLU</v>
      </c>
    </row>
    <row r="550">
      <c r="A550" s="1" t="str">
        <f>IFERROR(__xludf.DUMMYFUNCTION("""COMPUTED_VALUE"""),"BLUE")</f>
        <v>BLUE</v>
      </c>
    </row>
    <row r="551">
      <c r="A551" s="1" t="str">
        <f>IFERROR(__xludf.DUMMYFUNCTION("""COMPUTED_VALUE"""),"BLUW")</f>
        <v>BLUW</v>
      </c>
    </row>
    <row r="552">
      <c r="A552" s="1" t="str">
        <f>IFERROR(__xludf.DUMMYFUNCTION("""COMPUTED_VALUE"""),"BLUWU")</f>
        <v>BLUWU</v>
      </c>
    </row>
    <row r="553">
      <c r="A553" s="1" t="str">
        <f>IFERROR(__xludf.DUMMYFUNCTION("""COMPUTED_VALUE"""),"BLUWW")</f>
        <v>BLUWW</v>
      </c>
    </row>
    <row r="554">
      <c r="A554" s="1" t="str">
        <f>IFERROR(__xludf.DUMMYFUNCTION("""COMPUTED_VALUE"""),"BMBL")</f>
        <v>BMBL</v>
      </c>
    </row>
    <row r="555">
      <c r="A555" s="1" t="str">
        <f>IFERROR(__xludf.DUMMYFUNCTION("""COMPUTED_VALUE"""),"BMEA")</f>
        <v>BMEA</v>
      </c>
    </row>
    <row r="556">
      <c r="A556" s="1" t="str">
        <f>IFERROR(__xludf.DUMMYFUNCTION("""COMPUTED_VALUE"""),"BMRA")</f>
        <v>BMRA</v>
      </c>
    </row>
    <row r="557">
      <c r="A557" s="1" t="str">
        <f>IFERROR(__xludf.DUMMYFUNCTION("""COMPUTED_VALUE"""),"BMRC")</f>
        <v>BMRC</v>
      </c>
    </row>
    <row r="558">
      <c r="A558" s="1" t="str">
        <f>IFERROR(__xludf.DUMMYFUNCTION("""COMPUTED_VALUE"""),"BMRN")</f>
        <v>BMRN</v>
      </c>
    </row>
    <row r="559">
      <c r="A559" s="1" t="str">
        <f>IFERROR(__xludf.DUMMYFUNCTION("""COMPUTED_VALUE"""),"BMTC")</f>
        <v>BMTC</v>
      </c>
    </row>
    <row r="560">
      <c r="A560" s="1" t="str">
        <f>IFERROR(__xludf.DUMMYFUNCTION("""COMPUTED_VALUE"""),"BNFT")</f>
        <v>BNFT</v>
      </c>
    </row>
    <row r="561">
      <c r="A561" s="1" t="str">
        <f>IFERROR(__xludf.DUMMYFUNCTION("""COMPUTED_VALUE"""),"BNGO")</f>
        <v>BNGO</v>
      </c>
    </row>
    <row r="562">
      <c r="A562" s="1" t="str">
        <f>IFERROR(__xludf.DUMMYFUNCTION("""COMPUTED_VALUE"""),"BNGOW")</f>
        <v>BNGOW</v>
      </c>
    </row>
    <row r="563">
      <c r="A563" s="1" t="str">
        <f>IFERROR(__xludf.DUMMYFUNCTION("""COMPUTED_VALUE"""),"BNR")</f>
        <v>BNR</v>
      </c>
    </row>
    <row r="564">
      <c r="A564" s="1" t="str">
        <f>IFERROR(__xludf.DUMMYFUNCTION("""COMPUTED_VALUE"""),"BNSO")</f>
        <v>BNSO</v>
      </c>
    </row>
    <row r="565">
      <c r="A565" s="1" t="str">
        <f>IFERROR(__xludf.DUMMYFUNCTION("""COMPUTED_VALUE"""),"BNTC")</f>
        <v>BNTC</v>
      </c>
    </row>
    <row r="566">
      <c r="A566" s="1" t="str">
        <f>IFERROR(__xludf.DUMMYFUNCTION("""COMPUTED_VALUE"""),"BNTX")</f>
        <v>BNTX</v>
      </c>
    </row>
    <row r="567">
      <c r="A567" s="1" t="str">
        <f>IFERROR(__xludf.DUMMYFUNCTION("""COMPUTED_VALUE"""),"BOCH")</f>
        <v>BOCH</v>
      </c>
    </row>
    <row r="568">
      <c r="A568" s="1" t="str">
        <f>IFERROR(__xludf.DUMMYFUNCTION("""COMPUTED_VALUE"""),"BOKF")</f>
        <v>BOKF</v>
      </c>
    </row>
    <row r="569">
      <c r="A569" s="1" t="str">
        <f>IFERROR(__xludf.DUMMYFUNCTION("""COMPUTED_VALUE"""),"BOKFL")</f>
        <v>BOKFL</v>
      </c>
    </row>
    <row r="570">
      <c r="A570" s="1" t="str">
        <f>IFERROR(__xludf.DUMMYFUNCTION("""COMPUTED_VALUE"""),"BOLT")</f>
        <v>BOLT</v>
      </c>
    </row>
    <row r="571">
      <c r="A571" s="1" t="str">
        <f>IFERROR(__xludf.DUMMYFUNCTION("""COMPUTED_VALUE"""),"BOMN")</f>
        <v>BOMN</v>
      </c>
    </row>
    <row r="572">
      <c r="A572" s="1" t="str">
        <f>IFERROR(__xludf.DUMMYFUNCTION("""COMPUTED_VALUE"""),"BON")</f>
        <v>BON</v>
      </c>
    </row>
    <row r="573">
      <c r="A573" s="1" t="str">
        <f>IFERROR(__xludf.DUMMYFUNCTION("""COMPUTED_VALUE"""),"BOOM")</f>
        <v>BOOM</v>
      </c>
    </row>
    <row r="574">
      <c r="A574" s="1" t="str">
        <f>IFERROR(__xludf.DUMMYFUNCTION("""COMPUTED_VALUE"""),"BOSC")</f>
        <v>BOSC</v>
      </c>
    </row>
    <row r="575">
      <c r="A575" s="1" t="str">
        <f>IFERROR(__xludf.DUMMYFUNCTION("""COMPUTED_VALUE"""),"BOTJ")</f>
        <v>BOTJ</v>
      </c>
    </row>
    <row r="576">
      <c r="A576" s="1" t="str">
        <f>IFERROR(__xludf.DUMMYFUNCTION("""COMPUTED_VALUE"""),"BOWX")</f>
        <v>BOWX</v>
      </c>
    </row>
    <row r="577">
      <c r="A577" s="1" t="str">
        <f>IFERROR(__xludf.DUMMYFUNCTION("""COMPUTED_VALUE"""),"BOWXU")</f>
        <v>BOWXU</v>
      </c>
    </row>
    <row r="578">
      <c r="A578" s="1" t="str">
        <f>IFERROR(__xludf.DUMMYFUNCTION("""COMPUTED_VALUE"""),"BOWXW")</f>
        <v>BOWXW</v>
      </c>
    </row>
    <row r="579">
      <c r="A579" s="1" t="str">
        <f>IFERROR(__xludf.DUMMYFUNCTION("""COMPUTED_VALUE"""),"BOXL")</f>
        <v>BOXL</v>
      </c>
    </row>
    <row r="580">
      <c r="A580" s="1" t="str">
        <f>IFERROR(__xludf.DUMMYFUNCTION("""COMPUTED_VALUE"""),"BPMC")</f>
        <v>BPMC</v>
      </c>
    </row>
    <row r="581">
      <c r="A581" s="1" t="str">
        <f>IFERROR(__xludf.DUMMYFUNCTION("""COMPUTED_VALUE"""),"BPOP")</f>
        <v>BPOP</v>
      </c>
    </row>
    <row r="582">
      <c r="A582" s="1" t="str">
        <f>IFERROR(__xludf.DUMMYFUNCTION("""COMPUTED_VALUE"""),"BPOPM")</f>
        <v>BPOPM</v>
      </c>
    </row>
    <row r="583">
      <c r="A583" s="1" t="str">
        <f>IFERROR(__xludf.DUMMYFUNCTION("""COMPUTED_VALUE"""),"BPOPN")</f>
        <v>BPOPN</v>
      </c>
    </row>
    <row r="584">
      <c r="A584" s="1" t="str">
        <f>IFERROR(__xludf.DUMMYFUNCTION("""COMPUTED_VALUE"""),"BPRN")</f>
        <v>BPRN</v>
      </c>
    </row>
    <row r="585">
      <c r="A585" s="1" t="str">
        <f>IFERROR(__xludf.DUMMYFUNCTION("""COMPUTED_VALUE"""),"BPTH")</f>
        <v>BPTH</v>
      </c>
    </row>
    <row r="586">
      <c r="A586" s="1" t="str">
        <f>IFERROR(__xludf.DUMMYFUNCTION("""COMPUTED_VALUE"""),"BPTS")</f>
        <v>BPTS</v>
      </c>
    </row>
    <row r="587">
      <c r="A587" s="1" t="str">
        <f>IFERROR(__xludf.DUMMYFUNCTION("""COMPUTED_VALUE"""),"BPYPM")</f>
        <v>BPYPM</v>
      </c>
    </row>
    <row r="588">
      <c r="A588" s="1" t="str">
        <f>IFERROR(__xludf.DUMMYFUNCTION("""COMPUTED_VALUE"""),"BPYPN")</f>
        <v>BPYPN</v>
      </c>
    </row>
    <row r="589">
      <c r="A589" s="1" t="str">
        <f>IFERROR(__xludf.DUMMYFUNCTION("""COMPUTED_VALUE"""),"BPYPO")</f>
        <v>BPYPO</v>
      </c>
    </row>
    <row r="590">
      <c r="A590" s="1" t="str">
        <f>IFERROR(__xludf.DUMMYFUNCTION("""COMPUTED_VALUE"""),"BPYPP")</f>
        <v>BPYPP</v>
      </c>
    </row>
    <row r="591">
      <c r="A591" s="1" t="str">
        <f>IFERROR(__xludf.DUMMYFUNCTION("""COMPUTED_VALUE"""),"BPYUP")</f>
        <v>BPYUP</v>
      </c>
    </row>
    <row r="592">
      <c r="A592" s="1" t="str">
        <f>IFERROR(__xludf.DUMMYFUNCTION("""COMPUTED_VALUE"""),"BRCN")</f>
        <v>BRCN</v>
      </c>
    </row>
    <row r="593">
      <c r="A593" s="1" t="str">
        <f>IFERROR(__xludf.DUMMYFUNCTION("""COMPUTED_VALUE"""),"BREZ")</f>
        <v>BREZ</v>
      </c>
    </row>
    <row r="594">
      <c r="A594" s="1" t="str">
        <f>IFERROR(__xludf.DUMMYFUNCTION("""COMPUTED_VALUE"""),"BREZR")</f>
        <v>BREZR</v>
      </c>
    </row>
    <row r="595">
      <c r="A595" s="1" t="str">
        <f>IFERROR(__xludf.DUMMYFUNCTION("""COMPUTED_VALUE"""),"BREZW")</f>
        <v>BREZW</v>
      </c>
    </row>
    <row r="596">
      <c r="A596" s="1" t="str">
        <f>IFERROR(__xludf.DUMMYFUNCTION("""COMPUTED_VALUE"""),"BRID")</f>
        <v>BRID</v>
      </c>
    </row>
    <row r="597">
      <c r="A597" s="1" t="str">
        <f>IFERROR(__xludf.DUMMYFUNCTION("""COMPUTED_VALUE"""),"BRIV")</f>
        <v>BRIV</v>
      </c>
    </row>
    <row r="598">
      <c r="A598" s="1" t="str">
        <f>IFERROR(__xludf.DUMMYFUNCTION("""COMPUTED_VALUE"""),"BRIVU")</f>
        <v>BRIVU</v>
      </c>
    </row>
    <row r="599">
      <c r="A599" s="1" t="str">
        <f>IFERROR(__xludf.DUMMYFUNCTION("""COMPUTED_VALUE"""),"BRIVW")</f>
        <v>BRIVW</v>
      </c>
    </row>
    <row r="600">
      <c r="A600" s="1" t="str">
        <f>IFERROR(__xludf.DUMMYFUNCTION("""COMPUTED_VALUE"""),"BRKL")</f>
        <v>BRKL</v>
      </c>
    </row>
    <row r="601">
      <c r="A601" s="1" t="str">
        <f>IFERROR(__xludf.DUMMYFUNCTION("""COMPUTED_VALUE"""),"BRKR")</f>
        <v>BRKR</v>
      </c>
    </row>
    <row r="602">
      <c r="A602" s="1" t="str">
        <f>IFERROR(__xludf.DUMMYFUNCTION("""COMPUTED_VALUE"""),"BRKS")</f>
        <v>BRKS</v>
      </c>
    </row>
    <row r="603">
      <c r="A603" s="1" t="str">
        <f>IFERROR(__xludf.DUMMYFUNCTION("""COMPUTED_VALUE"""),"BRLI")</f>
        <v>BRLI</v>
      </c>
    </row>
    <row r="604">
      <c r="A604" s="1" t="str">
        <f>IFERROR(__xludf.DUMMYFUNCTION("""COMPUTED_VALUE"""),"BRLIR")</f>
        <v>BRLIR</v>
      </c>
    </row>
    <row r="605">
      <c r="A605" s="1" t="str">
        <f>IFERROR(__xludf.DUMMYFUNCTION("""COMPUTED_VALUE"""),"BRLIW")</f>
        <v>BRLIW</v>
      </c>
    </row>
    <row r="606">
      <c r="A606" s="1" t="str">
        <f>IFERROR(__xludf.DUMMYFUNCTION("""COMPUTED_VALUE"""),"BROG")</f>
        <v>BROG</v>
      </c>
    </row>
    <row r="607">
      <c r="A607" s="1" t="str">
        <f>IFERROR(__xludf.DUMMYFUNCTION("""COMPUTED_VALUE"""),"BRP")</f>
        <v>BRP</v>
      </c>
    </row>
    <row r="608">
      <c r="A608" s="1" t="str">
        <f>IFERROR(__xludf.DUMMYFUNCTION("""COMPUTED_VALUE"""),"BRPM")</f>
        <v>BRPM</v>
      </c>
    </row>
    <row r="609">
      <c r="A609" s="1" t="str">
        <f>IFERROR(__xludf.DUMMYFUNCTION("""COMPUTED_VALUE"""),"BRPMU")</f>
        <v>BRPMU</v>
      </c>
    </row>
    <row r="610">
      <c r="A610" s="1" t="str">
        <f>IFERROR(__xludf.DUMMYFUNCTION("""COMPUTED_VALUE"""),"BRPMW")</f>
        <v>BRPMW</v>
      </c>
    </row>
    <row r="611">
      <c r="A611" s="1" t="str">
        <f>IFERROR(__xludf.DUMMYFUNCTION("""COMPUTED_VALUE"""),"BRQS")</f>
        <v>BRQS</v>
      </c>
    </row>
    <row r="612">
      <c r="A612" s="1" t="str">
        <f>IFERROR(__xludf.DUMMYFUNCTION("""COMPUTED_VALUE"""),"BRY")</f>
        <v>BRY</v>
      </c>
    </row>
    <row r="613">
      <c r="A613" s="1" t="str">
        <f>IFERROR(__xludf.DUMMYFUNCTION("""COMPUTED_VALUE"""),"BSBK")</f>
        <v>BSBK</v>
      </c>
    </row>
    <row r="614">
      <c r="A614" s="1" t="str">
        <f>IFERROR(__xludf.DUMMYFUNCTION("""COMPUTED_VALUE"""),"BSET")</f>
        <v>BSET</v>
      </c>
    </row>
    <row r="615">
      <c r="A615" s="1" t="str">
        <f>IFERROR(__xludf.DUMMYFUNCTION("""COMPUTED_VALUE"""),"BSGA")</f>
        <v>BSGA</v>
      </c>
    </row>
    <row r="616">
      <c r="A616" s="1" t="str">
        <f>IFERROR(__xludf.DUMMYFUNCTION("""COMPUTED_VALUE"""),"BSGAR")</f>
        <v>BSGAR</v>
      </c>
    </row>
    <row r="617">
      <c r="A617" s="1" t="str">
        <f>IFERROR(__xludf.DUMMYFUNCTION("""COMPUTED_VALUE"""),"BSGAU")</f>
        <v>BSGAU</v>
      </c>
    </row>
    <row r="618">
      <c r="A618" s="1" t="str">
        <f>IFERROR(__xludf.DUMMYFUNCTION("""COMPUTED_VALUE"""),"BSGM")</f>
        <v>BSGM</v>
      </c>
    </row>
    <row r="619">
      <c r="A619" s="1" t="str">
        <f>IFERROR(__xludf.DUMMYFUNCTION("""COMPUTED_VALUE"""),"BSKY")</f>
        <v>BSKY</v>
      </c>
    </row>
    <row r="620">
      <c r="A620" s="1" t="str">
        <f>IFERROR(__xludf.DUMMYFUNCTION("""COMPUTED_VALUE"""),"BSKYU")</f>
        <v>BSKYU</v>
      </c>
    </row>
    <row r="621">
      <c r="A621" s="1" t="str">
        <f>IFERROR(__xludf.DUMMYFUNCTION("""COMPUTED_VALUE"""),"BSKYW")</f>
        <v>BSKYW</v>
      </c>
    </row>
    <row r="622">
      <c r="A622" s="1" t="str">
        <f>IFERROR(__xludf.DUMMYFUNCTION("""COMPUTED_VALUE"""),"BSQR")</f>
        <v>BSQR</v>
      </c>
    </row>
    <row r="623">
      <c r="A623" s="1" t="str">
        <f>IFERROR(__xludf.DUMMYFUNCTION("""COMPUTED_VALUE"""),"BSRR")</f>
        <v>BSRR</v>
      </c>
    </row>
    <row r="624">
      <c r="A624" s="1" t="str">
        <f>IFERROR(__xludf.DUMMYFUNCTION("""COMPUTED_VALUE"""),"BSVN")</f>
        <v>BSVN</v>
      </c>
    </row>
    <row r="625">
      <c r="A625" s="1" t="str">
        <f>IFERROR(__xludf.DUMMYFUNCTION("""COMPUTED_VALUE"""),"BSY")</f>
        <v>BSY</v>
      </c>
    </row>
    <row r="626">
      <c r="A626" s="1" t="str">
        <f>IFERROR(__xludf.DUMMYFUNCTION("""COMPUTED_VALUE"""),"BTAI")</f>
        <v>BTAI</v>
      </c>
    </row>
    <row r="627">
      <c r="A627" s="1" t="str">
        <f>IFERROR(__xludf.DUMMYFUNCTION("""COMPUTED_VALUE"""),"BTAQ")</f>
        <v>BTAQ</v>
      </c>
    </row>
    <row r="628">
      <c r="A628" s="1" t="str">
        <f>IFERROR(__xludf.DUMMYFUNCTION("""COMPUTED_VALUE"""),"BTAQU")</f>
        <v>BTAQU</v>
      </c>
    </row>
    <row r="629">
      <c r="A629" s="1" t="str">
        <f>IFERROR(__xludf.DUMMYFUNCTION("""COMPUTED_VALUE"""),"BTAQW")</f>
        <v>BTAQW</v>
      </c>
    </row>
    <row r="630">
      <c r="A630" s="1" t="str">
        <f>IFERROR(__xludf.DUMMYFUNCTION("""COMPUTED_VALUE"""),"BTB")</f>
        <v>BTB</v>
      </c>
    </row>
    <row r="631">
      <c r="A631" s="1" t="str">
        <f>IFERROR(__xludf.DUMMYFUNCTION("""COMPUTED_VALUE"""),"BTBT")</f>
        <v>BTBT</v>
      </c>
    </row>
    <row r="632">
      <c r="A632" s="1" t="str">
        <f>IFERROR(__xludf.DUMMYFUNCTION("""COMPUTED_VALUE"""),"BTNB")</f>
        <v>BTNB</v>
      </c>
    </row>
    <row r="633">
      <c r="A633" s="1" t="str">
        <f>IFERROR(__xludf.DUMMYFUNCTION("""COMPUTED_VALUE"""),"BTRS")</f>
        <v>BTRS</v>
      </c>
    </row>
    <row r="634">
      <c r="A634" s="1" t="str">
        <f>IFERROR(__xludf.DUMMYFUNCTION("""COMPUTED_VALUE"""),"BTRSW")</f>
        <v>BTRSW</v>
      </c>
    </row>
    <row r="635">
      <c r="A635" s="1" t="str">
        <f>IFERROR(__xludf.DUMMYFUNCTION("""COMPUTED_VALUE"""),"BTWN")</f>
        <v>BTWN</v>
      </c>
    </row>
    <row r="636">
      <c r="A636" s="1" t="str">
        <f>IFERROR(__xludf.DUMMYFUNCTION("""COMPUTED_VALUE"""),"BTWNU")</f>
        <v>BTWNU</v>
      </c>
    </row>
    <row r="637">
      <c r="A637" s="1" t="str">
        <f>IFERROR(__xludf.DUMMYFUNCTION("""COMPUTED_VALUE"""),"BTWNW")</f>
        <v>BTWNW</v>
      </c>
    </row>
    <row r="638">
      <c r="A638" s="1" t="str">
        <f>IFERROR(__xludf.DUMMYFUNCTION("""COMPUTED_VALUE"""),"BUSE")</f>
        <v>BUSE</v>
      </c>
    </row>
    <row r="639">
      <c r="A639" s="1" t="str">
        <f>IFERROR(__xludf.DUMMYFUNCTION("""COMPUTED_VALUE"""),"BVS")</f>
        <v>BVS</v>
      </c>
    </row>
    <row r="640">
      <c r="A640" s="1" t="str">
        <f>IFERROR(__xludf.DUMMYFUNCTION("""COMPUTED_VALUE"""),"BVXV")</f>
        <v>BVXV</v>
      </c>
    </row>
    <row r="641">
      <c r="A641" s="1" t="str">
        <f>IFERROR(__xludf.DUMMYFUNCTION("""COMPUTED_VALUE"""),"BWAC")</f>
        <v>BWAC</v>
      </c>
    </row>
    <row r="642">
      <c r="A642" s="1" t="str">
        <f>IFERROR(__xludf.DUMMYFUNCTION("""COMPUTED_VALUE"""),"BWACU")</f>
        <v>BWACU</v>
      </c>
    </row>
    <row r="643">
      <c r="A643" s="1" t="str">
        <f>IFERROR(__xludf.DUMMYFUNCTION("""COMPUTED_VALUE"""),"BWACW")</f>
        <v>BWACW</v>
      </c>
    </row>
    <row r="644">
      <c r="A644" s="1" t="str">
        <f>IFERROR(__xludf.DUMMYFUNCTION("""COMPUTED_VALUE"""),"BWAY")</f>
        <v>BWAY</v>
      </c>
    </row>
    <row r="645">
      <c r="A645" s="1" t="str">
        <f>IFERROR(__xludf.DUMMYFUNCTION("""COMPUTED_VALUE"""),"BWB")</f>
        <v>BWB</v>
      </c>
    </row>
    <row r="646">
      <c r="A646" s="1" t="str">
        <f>IFERROR(__xludf.DUMMYFUNCTION("""COMPUTED_VALUE"""),"BWCAU")</f>
        <v>BWCAU</v>
      </c>
    </row>
    <row r="647">
      <c r="A647" s="1" t="str">
        <f>IFERROR(__xludf.DUMMYFUNCTION("""COMPUTED_VALUE"""),"BWEN")</f>
        <v>BWEN</v>
      </c>
    </row>
    <row r="648">
      <c r="A648" s="1" t="str">
        <f>IFERROR(__xludf.DUMMYFUNCTION("""COMPUTED_VALUE"""),"BWFG")</f>
        <v>BWFG</v>
      </c>
    </row>
    <row r="649">
      <c r="A649" s="1" t="str">
        <f>IFERROR(__xludf.DUMMYFUNCTION("""COMPUTED_VALUE"""),"BWMN")</f>
        <v>BWMN</v>
      </c>
    </row>
    <row r="650">
      <c r="A650" s="1" t="str">
        <f>IFERROR(__xludf.DUMMYFUNCTION("""COMPUTED_VALUE"""),"BWMX")</f>
        <v>BWMX</v>
      </c>
    </row>
    <row r="651">
      <c r="A651" s="1" t="str">
        <f>IFERROR(__xludf.DUMMYFUNCTION("""COMPUTED_VALUE"""),"BXRX")</f>
        <v>BXRX</v>
      </c>
    </row>
    <row r="652">
      <c r="A652" s="1" t="str">
        <f>IFERROR(__xludf.DUMMYFUNCTION("""COMPUTED_VALUE"""),"BYFC")</f>
        <v>BYFC</v>
      </c>
    </row>
    <row r="653">
      <c r="A653" s="1" t="str">
        <f>IFERROR(__xludf.DUMMYFUNCTION("""COMPUTED_VALUE"""),"BYND")</f>
        <v>BYND</v>
      </c>
    </row>
    <row r="654">
      <c r="A654" s="1" t="str">
        <f>IFERROR(__xludf.DUMMYFUNCTION("""COMPUTED_VALUE"""),"BYRN")</f>
        <v>BYRN</v>
      </c>
    </row>
    <row r="655">
      <c r="A655" s="1" t="str">
        <f>IFERROR(__xludf.DUMMYFUNCTION("""COMPUTED_VALUE"""),"BYSI")</f>
        <v>BYSI</v>
      </c>
    </row>
    <row r="656">
      <c r="A656" s="1" t="str">
        <f>IFERROR(__xludf.DUMMYFUNCTION("""COMPUTED_VALUE"""),"BYTS")</f>
        <v>BYTS</v>
      </c>
    </row>
    <row r="657">
      <c r="A657" s="1" t="str">
        <f>IFERROR(__xludf.DUMMYFUNCTION("""COMPUTED_VALUE"""),"BYTSW")</f>
        <v>BYTSW</v>
      </c>
    </row>
    <row r="658">
      <c r="A658" s="1" t="str">
        <f>IFERROR(__xludf.DUMMYFUNCTION("""COMPUTED_VALUE"""),"BZ")</f>
        <v>BZ</v>
      </c>
    </row>
    <row r="659">
      <c r="A659" s="1" t="str">
        <f>IFERROR(__xludf.DUMMYFUNCTION("""COMPUTED_VALUE"""),"BZUN")</f>
        <v>BZUN</v>
      </c>
    </row>
    <row r="660">
      <c r="A660" s="1" t="str">
        <f>IFERROR(__xludf.DUMMYFUNCTION("""COMPUTED_VALUE"""),"CAAS")</f>
        <v>CAAS</v>
      </c>
    </row>
    <row r="661">
      <c r="A661" s="1" t="str">
        <f>IFERROR(__xludf.DUMMYFUNCTION("""COMPUTED_VALUE"""),"CABA")</f>
        <v>CABA</v>
      </c>
    </row>
    <row r="662">
      <c r="A662" s="1" t="str">
        <f>IFERROR(__xludf.DUMMYFUNCTION("""COMPUTED_VALUE"""),"CAC")</f>
        <v>CAC</v>
      </c>
    </row>
    <row r="663">
      <c r="A663" s="1" t="str">
        <f>IFERROR(__xludf.DUMMYFUNCTION("""COMPUTED_VALUE"""),"CACC")</f>
        <v>CACC</v>
      </c>
    </row>
    <row r="664">
      <c r="A664" s="1" t="str">
        <f>IFERROR(__xludf.DUMMYFUNCTION("""COMPUTED_VALUE"""),"CADL")</f>
        <v>CADL</v>
      </c>
    </row>
    <row r="665">
      <c r="A665" s="1" t="str">
        <f>IFERROR(__xludf.DUMMYFUNCTION("""COMPUTED_VALUE"""),"CAHC")</f>
        <v>CAHC</v>
      </c>
    </row>
    <row r="666">
      <c r="A666" s="1" t="str">
        <f>IFERROR(__xludf.DUMMYFUNCTION("""COMPUTED_VALUE"""),"CAHCU")</f>
        <v>CAHCU</v>
      </c>
    </row>
    <row r="667">
      <c r="A667" s="1" t="str">
        <f>IFERROR(__xludf.DUMMYFUNCTION("""COMPUTED_VALUE"""),"CAHCW")</f>
        <v>CAHCW</v>
      </c>
    </row>
    <row r="668">
      <c r="A668" s="1" t="str">
        <f>IFERROR(__xludf.DUMMYFUNCTION("""COMPUTED_VALUE"""),"CAKE")</f>
        <v>CAKE</v>
      </c>
    </row>
    <row r="669">
      <c r="A669" s="1" t="str">
        <f>IFERROR(__xludf.DUMMYFUNCTION("""COMPUTED_VALUE"""),"CALA")</f>
        <v>CALA</v>
      </c>
    </row>
    <row r="670">
      <c r="A670" s="1" t="str">
        <f>IFERROR(__xludf.DUMMYFUNCTION("""COMPUTED_VALUE"""),"CALB")</f>
        <v>CALB</v>
      </c>
    </row>
    <row r="671">
      <c r="A671" s="1" t="str">
        <f>IFERROR(__xludf.DUMMYFUNCTION("""COMPUTED_VALUE"""),"CALM")</f>
        <v>CALM</v>
      </c>
    </row>
    <row r="672">
      <c r="A672" s="1" t="str">
        <f>IFERROR(__xludf.DUMMYFUNCTION("""COMPUTED_VALUE"""),"CALT")</f>
        <v>CALT</v>
      </c>
    </row>
    <row r="673">
      <c r="A673" s="1" t="str">
        <f>IFERROR(__xludf.DUMMYFUNCTION("""COMPUTED_VALUE"""),"CAMP")</f>
        <v>CAMP</v>
      </c>
    </row>
    <row r="674">
      <c r="A674" s="1" t="str">
        <f>IFERROR(__xludf.DUMMYFUNCTION("""COMPUTED_VALUE"""),"CAMT")</f>
        <v>CAMT</v>
      </c>
    </row>
    <row r="675">
      <c r="A675" s="1" t="str">
        <f>IFERROR(__xludf.DUMMYFUNCTION("""COMPUTED_VALUE"""),"CAN")</f>
        <v>CAN</v>
      </c>
    </row>
    <row r="676">
      <c r="A676" s="1" t="str">
        <f>IFERROR(__xludf.DUMMYFUNCTION("""COMPUTED_VALUE"""),"CAPR")</f>
        <v>CAPR</v>
      </c>
    </row>
    <row r="677">
      <c r="A677" s="1" t="str">
        <f>IFERROR(__xludf.DUMMYFUNCTION("""COMPUTED_VALUE"""),"CAR")</f>
        <v>CAR</v>
      </c>
    </row>
    <row r="678">
      <c r="A678" s="1" t="str">
        <f>IFERROR(__xludf.DUMMYFUNCTION("""COMPUTED_VALUE"""),"CARA")</f>
        <v>CARA</v>
      </c>
    </row>
    <row r="679">
      <c r="A679" s="1" t="str">
        <f>IFERROR(__xludf.DUMMYFUNCTION("""COMPUTED_VALUE"""),"CARE")</f>
        <v>CARE</v>
      </c>
    </row>
    <row r="680">
      <c r="A680" s="1" t="str">
        <f>IFERROR(__xludf.DUMMYFUNCTION("""COMPUTED_VALUE"""),"CARG")</f>
        <v>CARG</v>
      </c>
    </row>
    <row r="681">
      <c r="A681" s="1" t="str">
        <f>IFERROR(__xludf.DUMMYFUNCTION("""COMPUTED_VALUE"""),"CARV")</f>
        <v>CARV</v>
      </c>
    </row>
    <row r="682">
      <c r="A682" s="1" t="str">
        <f>IFERROR(__xludf.DUMMYFUNCTION("""COMPUTED_VALUE"""),"CASA")</f>
        <v>CASA</v>
      </c>
    </row>
    <row r="683">
      <c r="A683" s="1" t="str">
        <f>IFERROR(__xludf.DUMMYFUNCTION("""COMPUTED_VALUE"""),"CASH")</f>
        <v>CASH</v>
      </c>
    </row>
    <row r="684">
      <c r="A684" s="1" t="str">
        <f>IFERROR(__xludf.DUMMYFUNCTION("""COMPUTED_VALUE"""),"CASI")</f>
        <v>CASI</v>
      </c>
    </row>
    <row r="685">
      <c r="A685" s="1" t="str">
        <f>IFERROR(__xludf.DUMMYFUNCTION("""COMPUTED_VALUE"""),"CASS")</f>
        <v>CASS</v>
      </c>
    </row>
    <row r="686">
      <c r="A686" s="1" t="str">
        <f>IFERROR(__xludf.DUMMYFUNCTION("""COMPUTED_VALUE"""),"CASY")</f>
        <v>CASY</v>
      </c>
    </row>
    <row r="687">
      <c r="A687" s="1" t="str">
        <f>IFERROR(__xludf.DUMMYFUNCTION("""COMPUTED_VALUE"""),"CATB")</f>
        <v>CATB</v>
      </c>
    </row>
    <row r="688">
      <c r="A688" s="1" t="str">
        <f>IFERROR(__xludf.DUMMYFUNCTION("""COMPUTED_VALUE"""),"CATC")</f>
        <v>CATC</v>
      </c>
    </row>
    <row r="689">
      <c r="A689" s="1" t="str">
        <f>IFERROR(__xludf.DUMMYFUNCTION("""COMPUTED_VALUE"""),"CATY")</f>
        <v>CATY</v>
      </c>
    </row>
    <row r="690">
      <c r="A690" s="1" t="str">
        <f>IFERROR(__xludf.DUMMYFUNCTION("""COMPUTED_VALUE"""),"CBAN")</f>
        <v>CBAN</v>
      </c>
    </row>
    <row r="691">
      <c r="A691" s="1" t="str">
        <f>IFERROR(__xludf.DUMMYFUNCTION("""COMPUTED_VALUE"""),"CBAT")</f>
        <v>CBAT</v>
      </c>
    </row>
    <row r="692">
      <c r="A692" s="1" t="str">
        <f>IFERROR(__xludf.DUMMYFUNCTION("""COMPUTED_VALUE"""),"CBAY")</f>
        <v>CBAY</v>
      </c>
    </row>
    <row r="693">
      <c r="A693" s="1" t="str">
        <f>IFERROR(__xludf.DUMMYFUNCTION("""COMPUTED_VALUE"""),"CBFV")</f>
        <v>CBFV</v>
      </c>
    </row>
    <row r="694">
      <c r="A694" s="1" t="str">
        <f>IFERROR(__xludf.DUMMYFUNCTION("""COMPUTED_VALUE"""),"CBIO")</f>
        <v>CBIO</v>
      </c>
    </row>
    <row r="695">
      <c r="A695" s="1" t="str">
        <f>IFERROR(__xludf.DUMMYFUNCTION("""COMPUTED_VALUE"""),"CBLI")</f>
        <v>CBLI</v>
      </c>
    </row>
    <row r="696">
      <c r="A696" s="1" t="str">
        <f>IFERROR(__xludf.DUMMYFUNCTION("""COMPUTED_VALUE"""),"CBMB")</f>
        <v>CBMB</v>
      </c>
    </row>
    <row r="697">
      <c r="A697" s="1" t="str">
        <f>IFERROR(__xludf.DUMMYFUNCTION("""COMPUTED_VALUE"""),"CBNK")</f>
        <v>CBNK</v>
      </c>
    </row>
    <row r="698">
      <c r="A698" s="1" t="str">
        <f>IFERROR(__xludf.DUMMYFUNCTION("""COMPUTED_VALUE"""),"CBRL")</f>
        <v>CBRL</v>
      </c>
    </row>
    <row r="699">
      <c r="A699" s="1" t="str">
        <f>IFERROR(__xludf.DUMMYFUNCTION("""COMPUTED_VALUE"""),"CBSH")</f>
        <v>CBSH</v>
      </c>
    </row>
    <row r="700">
      <c r="A700" s="1" t="str">
        <f>IFERROR(__xludf.DUMMYFUNCTION("""COMPUTED_VALUE"""),"CBTX")</f>
        <v>CBTX</v>
      </c>
    </row>
    <row r="701">
      <c r="A701" s="1" t="str">
        <f>IFERROR(__xludf.DUMMYFUNCTION("""COMPUTED_VALUE"""),"CCAP")</f>
        <v>CCAP</v>
      </c>
    </row>
    <row r="702">
      <c r="A702" s="1" t="str">
        <f>IFERROR(__xludf.DUMMYFUNCTION("""COMPUTED_VALUE"""),"CCB")</f>
        <v>CCB</v>
      </c>
    </row>
    <row r="703">
      <c r="A703" s="1" t="str">
        <f>IFERROR(__xludf.DUMMYFUNCTION("""COMPUTED_VALUE"""),"CCBG")</f>
        <v>CCBG</v>
      </c>
    </row>
    <row r="704">
      <c r="A704" s="1" t="str">
        <f>IFERROR(__xludf.DUMMYFUNCTION("""COMPUTED_VALUE"""),"CCCC")</f>
        <v>CCCC</v>
      </c>
    </row>
    <row r="705">
      <c r="A705" s="1" t="str">
        <f>IFERROR(__xludf.DUMMYFUNCTION("""COMPUTED_VALUE"""),"CCD")</f>
        <v>CCD</v>
      </c>
    </row>
    <row r="706">
      <c r="A706" s="1" t="str">
        <f>IFERROR(__xludf.DUMMYFUNCTION("""COMPUTED_VALUE"""),"CCLP")</f>
        <v>CCLP</v>
      </c>
    </row>
    <row r="707">
      <c r="A707" s="1" t="str">
        <f>IFERROR(__xludf.DUMMYFUNCTION("""COMPUTED_VALUE"""),"CCMP")</f>
        <v>CCMP</v>
      </c>
    </row>
    <row r="708">
      <c r="A708" s="1" t="str">
        <f>IFERROR(__xludf.DUMMYFUNCTION("""COMPUTED_VALUE"""),"CCNC")</f>
        <v>CCNC</v>
      </c>
    </row>
    <row r="709">
      <c r="A709" s="1" t="str">
        <f>IFERROR(__xludf.DUMMYFUNCTION("""COMPUTED_VALUE"""),"CCNE")</f>
        <v>CCNE</v>
      </c>
    </row>
    <row r="710">
      <c r="A710" s="1" t="str">
        <f>IFERROR(__xludf.DUMMYFUNCTION("""COMPUTED_VALUE"""),"CCNEP")</f>
        <v>CCNEP</v>
      </c>
    </row>
    <row r="711">
      <c r="A711" s="1" t="str">
        <f>IFERROR(__xludf.DUMMYFUNCTION("""COMPUTED_VALUE"""),"CCOI")</f>
        <v>CCOI</v>
      </c>
    </row>
    <row r="712">
      <c r="A712" s="1" t="str">
        <f>IFERROR(__xludf.DUMMYFUNCTION("""COMPUTED_VALUE"""),"CCRN")</f>
        <v>CCRN</v>
      </c>
    </row>
    <row r="713">
      <c r="A713" s="1" t="str">
        <f>IFERROR(__xludf.DUMMYFUNCTION("""COMPUTED_VALUE"""),"CCXI")</f>
        <v>CCXI</v>
      </c>
    </row>
    <row r="714">
      <c r="A714" s="1" t="str">
        <f>IFERROR(__xludf.DUMMYFUNCTION("""COMPUTED_VALUE"""),"CD")</f>
        <v>CD</v>
      </c>
    </row>
    <row r="715">
      <c r="A715" s="1" t="str">
        <f>IFERROR(__xludf.DUMMYFUNCTION("""COMPUTED_VALUE"""),"CDAK")</f>
        <v>CDAK</v>
      </c>
    </row>
    <row r="716">
      <c r="A716" s="1" t="str">
        <f>IFERROR(__xludf.DUMMYFUNCTION("""COMPUTED_VALUE"""),"CDEV")</f>
        <v>CDEV</v>
      </c>
    </row>
    <row r="717">
      <c r="A717" s="1" t="str">
        <f>IFERROR(__xludf.DUMMYFUNCTION("""COMPUTED_VALUE"""),"CDK")</f>
        <v>CDK</v>
      </c>
    </row>
    <row r="718">
      <c r="A718" s="1" t="str">
        <f>IFERROR(__xludf.DUMMYFUNCTION("""COMPUTED_VALUE"""),"CDLX")</f>
        <v>CDLX</v>
      </c>
    </row>
    <row r="719">
      <c r="A719" s="1" t="str">
        <f>IFERROR(__xludf.DUMMYFUNCTION("""COMPUTED_VALUE"""),"CDMO")</f>
        <v>CDMO</v>
      </c>
    </row>
    <row r="720">
      <c r="A720" s="1" t="str">
        <f>IFERROR(__xludf.DUMMYFUNCTION("""COMPUTED_VALUE"""),"CDNA")</f>
        <v>CDNA</v>
      </c>
    </row>
    <row r="721">
      <c r="A721" s="1" t="str">
        <f>IFERROR(__xludf.DUMMYFUNCTION("""COMPUTED_VALUE"""),"CDNS")</f>
        <v>CDNS</v>
      </c>
    </row>
    <row r="722">
      <c r="A722" s="1" t="str">
        <f>IFERROR(__xludf.DUMMYFUNCTION("""COMPUTED_VALUE"""),"CDTX")</f>
        <v>CDTX</v>
      </c>
    </row>
    <row r="723">
      <c r="A723" s="1" t="str">
        <f>IFERROR(__xludf.DUMMYFUNCTION("""COMPUTED_VALUE"""),"CDW")</f>
        <v>CDW</v>
      </c>
    </row>
    <row r="724">
      <c r="A724" s="1" t="str">
        <f>IFERROR(__xludf.DUMMYFUNCTION("""COMPUTED_VALUE"""),"CDXC")</f>
        <v>CDXC</v>
      </c>
    </row>
    <row r="725">
      <c r="A725" s="1" t="str">
        <f>IFERROR(__xludf.DUMMYFUNCTION("""COMPUTED_VALUE"""),"CDXS")</f>
        <v>CDXS</v>
      </c>
    </row>
    <row r="726">
      <c r="A726" s="1" t="str">
        <f>IFERROR(__xludf.DUMMYFUNCTION("""COMPUTED_VALUE"""),"CDZI")</f>
        <v>CDZI</v>
      </c>
    </row>
    <row r="727">
      <c r="A727" s="1" t="str">
        <f>IFERROR(__xludf.DUMMYFUNCTION("""COMPUTED_VALUE"""),"CDZIP")</f>
        <v>CDZIP</v>
      </c>
    </row>
    <row r="728">
      <c r="A728" s="1" t="str">
        <f>IFERROR(__xludf.DUMMYFUNCTION("""COMPUTED_VALUE"""),"CECE")</f>
        <v>CECE</v>
      </c>
    </row>
    <row r="729">
      <c r="A729" s="1" t="str">
        <f>IFERROR(__xludf.DUMMYFUNCTION("""COMPUTED_VALUE"""),"CELC")</f>
        <v>CELC</v>
      </c>
    </row>
    <row r="730">
      <c r="A730" s="1" t="str">
        <f>IFERROR(__xludf.DUMMYFUNCTION("""COMPUTED_VALUE"""),"CELH")</f>
        <v>CELH</v>
      </c>
    </row>
    <row r="731">
      <c r="A731" s="1" t="str">
        <f>IFERROR(__xludf.DUMMYFUNCTION("""COMPUTED_VALUE"""),"CELU")</f>
        <v>CELU</v>
      </c>
    </row>
    <row r="732">
      <c r="A732" s="1" t="str">
        <f>IFERROR(__xludf.DUMMYFUNCTION("""COMPUTED_VALUE"""),"CELUW")</f>
        <v>CELUW</v>
      </c>
    </row>
    <row r="733">
      <c r="A733" s="1" t="str">
        <f>IFERROR(__xludf.DUMMYFUNCTION("""COMPUTED_VALUE"""),"CEMI")</f>
        <v>CEMI</v>
      </c>
    </row>
    <row r="734">
      <c r="A734" s="1" t="str">
        <f>IFERROR(__xludf.DUMMYFUNCTION("""COMPUTED_VALUE"""),"CENH")</f>
        <v>CENH</v>
      </c>
    </row>
    <row r="735">
      <c r="A735" s="1" t="str">
        <f>IFERROR(__xludf.DUMMYFUNCTION("""COMPUTED_VALUE"""),"CENHU")</f>
        <v>CENHU</v>
      </c>
    </row>
    <row r="736">
      <c r="A736" s="1" t="str">
        <f>IFERROR(__xludf.DUMMYFUNCTION("""COMPUTED_VALUE"""),"CENHW")</f>
        <v>CENHW</v>
      </c>
    </row>
    <row r="737">
      <c r="A737" s="1" t="str">
        <f>IFERROR(__xludf.DUMMYFUNCTION("""COMPUTED_VALUE"""),"CENT")</f>
        <v>CENT</v>
      </c>
    </row>
    <row r="738">
      <c r="A738" s="1" t="str">
        <f>IFERROR(__xludf.DUMMYFUNCTION("""COMPUTED_VALUE"""),"CENTA")</f>
        <v>CENTA</v>
      </c>
    </row>
    <row r="739">
      <c r="A739" s="1" t="str">
        <f>IFERROR(__xludf.DUMMYFUNCTION("""COMPUTED_VALUE"""),"CENX")</f>
        <v>CENX</v>
      </c>
    </row>
    <row r="740">
      <c r="A740" s="1" t="str">
        <f>IFERROR(__xludf.DUMMYFUNCTION("""COMPUTED_VALUE"""),"CERC")</f>
        <v>CERC</v>
      </c>
    </row>
    <row r="741">
      <c r="A741" s="1" t="str">
        <f>IFERROR(__xludf.DUMMYFUNCTION("""COMPUTED_VALUE"""),"CERE")</f>
        <v>CERE</v>
      </c>
    </row>
    <row r="742">
      <c r="A742" s="1" t="str">
        <f>IFERROR(__xludf.DUMMYFUNCTION("""COMPUTED_VALUE"""),"CEREW")</f>
        <v>CEREW</v>
      </c>
    </row>
    <row r="743">
      <c r="A743" s="1" t="str">
        <f>IFERROR(__xludf.DUMMYFUNCTION("""COMPUTED_VALUE"""),"CERN")</f>
        <v>CERN</v>
      </c>
    </row>
    <row r="744">
      <c r="A744" s="1" t="str">
        <f>IFERROR(__xludf.DUMMYFUNCTION("""COMPUTED_VALUE"""),"CERS")</f>
        <v>CERS</v>
      </c>
    </row>
    <row r="745">
      <c r="A745" s="1" t="str">
        <f>IFERROR(__xludf.DUMMYFUNCTION("""COMPUTED_VALUE"""),"CERT")</f>
        <v>CERT</v>
      </c>
    </row>
    <row r="746">
      <c r="A746" s="1" t="str">
        <f>IFERROR(__xludf.DUMMYFUNCTION("""COMPUTED_VALUE"""),"CETX")</f>
        <v>CETX</v>
      </c>
    </row>
    <row r="747">
      <c r="A747" s="1" t="str">
        <f>IFERROR(__xludf.DUMMYFUNCTION("""COMPUTED_VALUE"""),"CETXP")</f>
        <v>CETXP</v>
      </c>
    </row>
    <row r="748">
      <c r="A748" s="1" t="str">
        <f>IFERROR(__xludf.DUMMYFUNCTION("""COMPUTED_VALUE"""),"CETXW")</f>
        <v>CETXW</v>
      </c>
    </row>
    <row r="749">
      <c r="A749" s="1" t="str">
        <f>IFERROR(__xludf.DUMMYFUNCTION("""COMPUTED_VALUE"""),"CEVA")</f>
        <v>CEVA</v>
      </c>
    </row>
    <row r="750">
      <c r="A750" s="1" t="str">
        <f>IFERROR(__xludf.DUMMYFUNCTION("""COMPUTED_VALUE"""),"CFAC")</f>
        <v>CFAC</v>
      </c>
    </row>
    <row r="751">
      <c r="A751" s="1" t="str">
        <f>IFERROR(__xludf.DUMMYFUNCTION("""COMPUTED_VALUE"""),"CFACU")</f>
        <v>CFACU</v>
      </c>
    </row>
    <row r="752">
      <c r="A752" s="1" t="str">
        <f>IFERROR(__xludf.DUMMYFUNCTION("""COMPUTED_VALUE"""),"CFACW")</f>
        <v>CFACW</v>
      </c>
    </row>
    <row r="753">
      <c r="A753" s="1" t="str">
        <f>IFERROR(__xludf.DUMMYFUNCTION("""COMPUTED_VALUE"""),"CFB")</f>
        <v>CFB</v>
      </c>
    </row>
    <row r="754">
      <c r="A754" s="1" t="str">
        <f>IFERROR(__xludf.DUMMYFUNCTION("""COMPUTED_VALUE"""),"CFBK")</f>
        <v>CFBK</v>
      </c>
    </row>
    <row r="755">
      <c r="A755" s="1" t="str">
        <f>IFERROR(__xludf.DUMMYFUNCTION("""COMPUTED_VALUE"""),"CFFE")</f>
        <v>CFFE</v>
      </c>
    </row>
    <row r="756">
      <c r="A756" s="1" t="str">
        <f>IFERROR(__xludf.DUMMYFUNCTION("""COMPUTED_VALUE"""),"CFFEU")</f>
        <v>CFFEU</v>
      </c>
    </row>
    <row r="757">
      <c r="A757" s="1" t="str">
        <f>IFERROR(__xludf.DUMMYFUNCTION("""COMPUTED_VALUE"""),"CFFEW")</f>
        <v>CFFEW</v>
      </c>
    </row>
    <row r="758">
      <c r="A758" s="1" t="str">
        <f>IFERROR(__xludf.DUMMYFUNCTION("""COMPUTED_VALUE"""),"CFFI")</f>
        <v>CFFI</v>
      </c>
    </row>
    <row r="759">
      <c r="A759" s="1" t="str">
        <f>IFERROR(__xludf.DUMMYFUNCTION("""COMPUTED_VALUE"""),"CFFN")</f>
        <v>CFFN</v>
      </c>
    </row>
    <row r="760">
      <c r="A760" s="1" t="str">
        <f>IFERROR(__xludf.DUMMYFUNCTION("""COMPUTED_VALUE"""),"CFFVU")</f>
        <v>CFFVU</v>
      </c>
    </row>
    <row r="761">
      <c r="A761" s="1" t="str">
        <f>IFERROR(__xludf.DUMMYFUNCTION("""COMPUTED_VALUE"""),"CFFVW")</f>
        <v>CFFVW</v>
      </c>
    </row>
    <row r="762">
      <c r="A762" s="1" t="str">
        <f>IFERROR(__xludf.DUMMYFUNCTION("""COMPUTED_VALUE"""),"CFIV")</f>
        <v>CFIV</v>
      </c>
    </row>
    <row r="763">
      <c r="A763" s="1" t="str">
        <f>IFERROR(__xludf.DUMMYFUNCTION("""COMPUTED_VALUE"""),"CFIVU")</f>
        <v>CFIVU</v>
      </c>
    </row>
    <row r="764">
      <c r="A764" s="1" t="str">
        <f>IFERROR(__xludf.DUMMYFUNCTION("""COMPUTED_VALUE"""),"CFIVW")</f>
        <v>CFIVW</v>
      </c>
    </row>
    <row r="765">
      <c r="A765" s="1" t="str">
        <f>IFERROR(__xludf.DUMMYFUNCTION("""COMPUTED_VALUE"""),"CFLT")</f>
        <v>CFLT</v>
      </c>
    </row>
    <row r="766">
      <c r="A766" s="1" t="str">
        <f>IFERROR(__xludf.DUMMYFUNCTION("""COMPUTED_VALUE"""),"CFMS")</f>
        <v>CFMS</v>
      </c>
    </row>
    <row r="767">
      <c r="A767" s="1" t="str">
        <f>IFERROR(__xludf.DUMMYFUNCTION("""COMPUTED_VALUE"""),"CFRX")</f>
        <v>CFRX</v>
      </c>
    </row>
    <row r="768">
      <c r="A768" s="1" t="str">
        <f>IFERROR(__xludf.DUMMYFUNCTION("""COMPUTED_VALUE"""),"CFV")</f>
        <v>CFV</v>
      </c>
    </row>
    <row r="769">
      <c r="A769" s="1" t="str">
        <f>IFERROR(__xludf.DUMMYFUNCTION("""COMPUTED_VALUE"""),"CFVI")</f>
        <v>CFVI</v>
      </c>
    </row>
    <row r="770">
      <c r="A770" s="1" t="str">
        <f>IFERROR(__xludf.DUMMYFUNCTION("""COMPUTED_VALUE"""),"CFVIW")</f>
        <v>CFVIW</v>
      </c>
    </row>
    <row r="771">
      <c r="A771" s="1" t="str">
        <f>IFERROR(__xludf.DUMMYFUNCTION("""COMPUTED_VALUE"""),"CG")</f>
        <v>CG</v>
      </c>
    </row>
    <row r="772">
      <c r="A772" s="1" t="str">
        <f>IFERROR(__xludf.DUMMYFUNCTION("""COMPUTED_VALUE"""),"CGABL")</f>
        <v>CGABL</v>
      </c>
    </row>
    <row r="773">
      <c r="A773" s="1" t="str">
        <f>IFERROR(__xludf.DUMMYFUNCTION("""COMPUTED_VALUE"""),"CGBD")</f>
        <v>CGBD</v>
      </c>
    </row>
    <row r="774">
      <c r="A774" s="1" t="str">
        <f>IFERROR(__xludf.DUMMYFUNCTION("""COMPUTED_VALUE"""),"CGC")</f>
        <v>CGC</v>
      </c>
    </row>
    <row r="775">
      <c r="A775" s="1" t="str">
        <f>IFERROR(__xludf.DUMMYFUNCTION("""COMPUTED_VALUE"""),"CGEM")</f>
        <v>CGEM</v>
      </c>
    </row>
    <row r="776">
      <c r="A776" s="1" t="str">
        <f>IFERROR(__xludf.DUMMYFUNCTION("""COMPUTED_VALUE"""),"CGEN")</f>
        <v>CGEN</v>
      </c>
    </row>
    <row r="777">
      <c r="A777" s="1" t="str">
        <f>IFERROR(__xludf.DUMMYFUNCTION("""COMPUTED_VALUE"""),"CGNT")</f>
        <v>CGNT</v>
      </c>
    </row>
    <row r="778">
      <c r="A778" s="1" t="str">
        <f>IFERROR(__xludf.DUMMYFUNCTION("""COMPUTED_VALUE"""),"CGNX")</f>
        <v>CGNX</v>
      </c>
    </row>
    <row r="779">
      <c r="A779" s="1" t="str">
        <f>IFERROR(__xludf.DUMMYFUNCTION("""COMPUTED_VALUE"""),"CGO")</f>
        <v>CGO</v>
      </c>
    </row>
    <row r="780">
      <c r="A780" s="1" t="str">
        <f>IFERROR(__xludf.DUMMYFUNCTION("""COMPUTED_VALUE"""),"CGRN")</f>
        <v>CGRN</v>
      </c>
    </row>
    <row r="781">
      <c r="A781" s="1" t="str">
        <f>IFERROR(__xludf.DUMMYFUNCTION("""COMPUTED_VALUE"""),"CHCI")</f>
        <v>CHCI</v>
      </c>
    </row>
    <row r="782">
      <c r="A782" s="1" t="str">
        <f>IFERROR(__xludf.DUMMYFUNCTION("""COMPUTED_VALUE"""),"CHCO")</f>
        <v>CHCO</v>
      </c>
    </row>
    <row r="783">
      <c r="A783" s="1" t="str">
        <f>IFERROR(__xludf.DUMMYFUNCTION("""COMPUTED_VALUE"""),"CHDN")</f>
        <v>CHDN</v>
      </c>
    </row>
    <row r="784">
      <c r="A784" s="1" t="str">
        <f>IFERROR(__xludf.DUMMYFUNCTION("""COMPUTED_VALUE"""),"CHEF")</f>
        <v>CHEF</v>
      </c>
    </row>
    <row r="785">
      <c r="A785" s="1" t="str">
        <f>IFERROR(__xludf.DUMMYFUNCTION("""COMPUTED_VALUE"""),"CHEK")</f>
        <v>CHEK</v>
      </c>
    </row>
    <row r="786">
      <c r="A786" s="1" t="str">
        <f>IFERROR(__xludf.DUMMYFUNCTION("""COMPUTED_VALUE"""),"CHEKZ")</f>
        <v>CHEKZ</v>
      </c>
    </row>
    <row r="787">
      <c r="A787" s="1" t="str">
        <f>IFERROR(__xludf.DUMMYFUNCTION("""COMPUTED_VALUE"""),"CHI")</f>
        <v>CHI</v>
      </c>
    </row>
    <row r="788">
      <c r="A788" s="1" t="str">
        <f>IFERROR(__xludf.DUMMYFUNCTION("""COMPUTED_VALUE"""),"CHK")</f>
        <v>CHK</v>
      </c>
    </row>
    <row r="789">
      <c r="A789" s="1" t="str">
        <f>IFERROR(__xludf.DUMMYFUNCTION("""COMPUTED_VALUE"""),"CHKEL")</f>
        <v>CHKEL</v>
      </c>
    </row>
    <row r="790">
      <c r="A790" s="1" t="str">
        <f>IFERROR(__xludf.DUMMYFUNCTION("""COMPUTED_VALUE"""),"CHKEW")</f>
        <v>CHKEW</v>
      </c>
    </row>
    <row r="791">
      <c r="A791" s="1" t="str">
        <f>IFERROR(__xludf.DUMMYFUNCTION("""COMPUTED_VALUE"""),"CHKEZ")</f>
        <v>CHKEZ</v>
      </c>
    </row>
    <row r="792">
      <c r="A792" s="1" t="str">
        <f>IFERROR(__xludf.DUMMYFUNCTION("""COMPUTED_VALUE"""),"CHKP")</f>
        <v>CHKP</v>
      </c>
    </row>
    <row r="793">
      <c r="A793" s="1" t="str">
        <f>IFERROR(__xludf.DUMMYFUNCTION("""COMPUTED_VALUE"""),"CHMG")</f>
        <v>CHMG</v>
      </c>
    </row>
    <row r="794">
      <c r="A794" s="1" t="str">
        <f>IFERROR(__xludf.DUMMYFUNCTION("""COMPUTED_VALUE"""),"CHNG")</f>
        <v>CHNG</v>
      </c>
    </row>
    <row r="795">
      <c r="A795" s="1" t="str">
        <f>IFERROR(__xludf.DUMMYFUNCTION("""COMPUTED_VALUE"""),"CHNGU")</f>
        <v>CHNGU</v>
      </c>
    </row>
    <row r="796">
      <c r="A796" s="1" t="str">
        <f>IFERROR(__xludf.DUMMYFUNCTION("""COMPUTED_VALUE"""),"CHNR")</f>
        <v>CHNR</v>
      </c>
    </row>
    <row r="797">
      <c r="A797" s="1" t="str">
        <f>IFERROR(__xludf.DUMMYFUNCTION("""COMPUTED_VALUE"""),"CHPM")</f>
        <v>CHPM</v>
      </c>
    </row>
    <row r="798">
      <c r="A798" s="1" t="str">
        <f>IFERROR(__xludf.DUMMYFUNCTION("""COMPUTED_VALUE"""),"CHPMW")</f>
        <v>CHPMW</v>
      </c>
    </row>
    <row r="799">
      <c r="A799" s="1" t="str">
        <f>IFERROR(__xludf.DUMMYFUNCTION("""COMPUTED_VALUE"""),"CHRS")</f>
        <v>CHRS</v>
      </c>
    </row>
    <row r="800">
      <c r="A800" s="1" t="str">
        <f>IFERROR(__xludf.DUMMYFUNCTION("""COMPUTED_VALUE"""),"CHRW")</f>
        <v>CHRW</v>
      </c>
    </row>
    <row r="801">
      <c r="A801" s="1" t="str">
        <f>IFERROR(__xludf.DUMMYFUNCTION("""COMPUTED_VALUE"""),"CHSCL")</f>
        <v>CHSCL</v>
      </c>
    </row>
    <row r="802">
      <c r="A802" s="1" t="str">
        <f>IFERROR(__xludf.DUMMYFUNCTION("""COMPUTED_VALUE"""),"CHSCM")</f>
        <v>CHSCM</v>
      </c>
    </row>
    <row r="803">
      <c r="A803" s="1" t="str">
        <f>IFERROR(__xludf.DUMMYFUNCTION("""COMPUTED_VALUE"""),"CHSCN")</f>
        <v>CHSCN</v>
      </c>
    </row>
    <row r="804">
      <c r="A804" s="1" t="str">
        <f>IFERROR(__xludf.DUMMYFUNCTION("""COMPUTED_VALUE"""),"CHSCO")</f>
        <v>CHSCO</v>
      </c>
    </row>
    <row r="805">
      <c r="A805" s="1" t="str">
        <f>IFERROR(__xludf.DUMMYFUNCTION("""COMPUTED_VALUE"""),"CHSCP")</f>
        <v>CHSCP</v>
      </c>
    </row>
    <row r="806">
      <c r="A806" s="1" t="str">
        <f>IFERROR(__xludf.DUMMYFUNCTION("""COMPUTED_VALUE"""),"CHTR")</f>
        <v>CHTR</v>
      </c>
    </row>
    <row r="807">
      <c r="A807" s="1" t="str">
        <f>IFERROR(__xludf.DUMMYFUNCTION("""COMPUTED_VALUE"""),"CHUY")</f>
        <v>CHUY</v>
      </c>
    </row>
    <row r="808">
      <c r="A808" s="1" t="str">
        <f>IFERROR(__xludf.DUMMYFUNCTION("""COMPUTED_VALUE"""),"CHW")</f>
        <v>CHW</v>
      </c>
    </row>
    <row r="809">
      <c r="A809" s="1" t="str">
        <f>IFERROR(__xludf.DUMMYFUNCTION("""COMPUTED_VALUE"""),"CHX")</f>
        <v>CHX</v>
      </c>
    </row>
    <row r="810">
      <c r="A810" s="1" t="str">
        <f>IFERROR(__xludf.DUMMYFUNCTION("""COMPUTED_VALUE"""),"CHY")</f>
        <v>CHY</v>
      </c>
    </row>
    <row r="811">
      <c r="A811" s="1" t="str">
        <f>IFERROR(__xludf.DUMMYFUNCTION("""COMPUTED_VALUE"""),"CIDM")</f>
        <v>CIDM</v>
      </c>
    </row>
    <row r="812">
      <c r="A812" s="1" t="str">
        <f>IFERROR(__xludf.DUMMYFUNCTION("""COMPUTED_VALUE"""),"CIGI")</f>
        <v>CIGI</v>
      </c>
    </row>
    <row r="813">
      <c r="A813" s="1" t="str">
        <f>IFERROR(__xludf.DUMMYFUNCTION("""COMPUTED_VALUE"""),"CIH")</f>
        <v>CIH</v>
      </c>
    </row>
    <row r="814">
      <c r="A814" s="1" t="str">
        <f>IFERROR(__xludf.DUMMYFUNCTION("""COMPUTED_VALUE"""),"CINF")</f>
        <v>CINF</v>
      </c>
    </row>
    <row r="815">
      <c r="A815" s="1" t="str">
        <f>IFERROR(__xludf.DUMMYFUNCTION("""COMPUTED_VALUE"""),"CIVB")</f>
        <v>CIVB</v>
      </c>
    </row>
    <row r="816">
      <c r="A816" s="1" t="str">
        <f>IFERROR(__xludf.DUMMYFUNCTION("""COMPUTED_VALUE"""),"CIZN")</f>
        <v>CIZN</v>
      </c>
    </row>
    <row r="817">
      <c r="A817" s="1" t="str">
        <f>IFERROR(__xludf.DUMMYFUNCTION("""COMPUTED_VALUE"""),"CJJD")</f>
        <v>CJJD</v>
      </c>
    </row>
    <row r="818">
      <c r="A818" s="1" t="str">
        <f>IFERROR(__xludf.DUMMYFUNCTION("""COMPUTED_VALUE"""),"CKPT")</f>
        <v>CKPT</v>
      </c>
    </row>
    <row r="819">
      <c r="A819" s="1" t="str">
        <f>IFERROR(__xludf.DUMMYFUNCTION("""COMPUTED_VALUE"""),"CLAQ")</f>
        <v>CLAQ</v>
      </c>
    </row>
    <row r="820">
      <c r="A820" s="1" t="str">
        <f>IFERROR(__xludf.DUMMYFUNCTION("""COMPUTED_VALUE"""),"CLAQR")</f>
        <v>CLAQR</v>
      </c>
    </row>
    <row r="821">
      <c r="A821" s="1" t="str">
        <f>IFERROR(__xludf.DUMMYFUNCTION("""COMPUTED_VALUE"""),"CLAQU")</f>
        <v>CLAQU</v>
      </c>
    </row>
    <row r="822">
      <c r="A822" s="1" t="str">
        <f>IFERROR(__xludf.DUMMYFUNCTION("""COMPUTED_VALUE"""),"CLAQW")</f>
        <v>CLAQW</v>
      </c>
    </row>
    <row r="823">
      <c r="A823" s="1" t="str">
        <f>IFERROR(__xludf.DUMMYFUNCTION("""COMPUTED_VALUE"""),"CLAR")</f>
        <v>CLAR</v>
      </c>
    </row>
    <row r="824">
      <c r="A824" s="1" t="str">
        <f>IFERROR(__xludf.DUMMYFUNCTION("""COMPUTED_VALUE"""),"CLAYU")</f>
        <v>CLAYU</v>
      </c>
    </row>
    <row r="825">
      <c r="A825" s="1" t="str">
        <f>IFERROR(__xludf.DUMMYFUNCTION("""COMPUTED_VALUE"""),"CLBK")</f>
        <v>CLBK</v>
      </c>
    </row>
    <row r="826">
      <c r="A826" s="1" t="str">
        <f>IFERROR(__xludf.DUMMYFUNCTION("""COMPUTED_VALUE"""),"CLBS")</f>
        <v>CLBS</v>
      </c>
    </row>
    <row r="827">
      <c r="A827" s="1" t="str">
        <f>IFERROR(__xludf.DUMMYFUNCTION("""COMPUTED_VALUE"""),"CLDB")</f>
        <v>CLDB</v>
      </c>
    </row>
    <row r="828">
      <c r="A828" s="1" t="str">
        <f>IFERROR(__xludf.DUMMYFUNCTION("""COMPUTED_VALUE"""),"CLDX")</f>
        <v>CLDX</v>
      </c>
    </row>
    <row r="829">
      <c r="A829" s="1" t="str">
        <f>IFERROR(__xludf.DUMMYFUNCTION("""COMPUTED_VALUE"""),"CLEU")</f>
        <v>CLEU</v>
      </c>
    </row>
    <row r="830">
      <c r="A830" s="1" t="str">
        <f>IFERROR(__xludf.DUMMYFUNCTION("""COMPUTED_VALUE"""),"CLFD")</f>
        <v>CLFD</v>
      </c>
    </row>
    <row r="831">
      <c r="A831" s="1" t="str">
        <f>IFERROR(__xludf.DUMMYFUNCTION("""COMPUTED_VALUE"""),"CLGN")</f>
        <v>CLGN</v>
      </c>
    </row>
    <row r="832">
      <c r="A832" s="1" t="str">
        <f>IFERROR(__xludf.DUMMYFUNCTION("""COMPUTED_VALUE"""),"CLIR")</f>
        <v>CLIR</v>
      </c>
    </row>
    <row r="833">
      <c r="A833" s="1" t="str">
        <f>IFERROR(__xludf.DUMMYFUNCTION("""COMPUTED_VALUE"""),"CLLS")</f>
        <v>CLLS</v>
      </c>
    </row>
    <row r="834">
      <c r="A834" s="1" t="str">
        <f>IFERROR(__xludf.DUMMYFUNCTION("""COMPUTED_VALUE"""),"CLMT")</f>
        <v>CLMT</v>
      </c>
    </row>
    <row r="835">
      <c r="A835" s="1" t="str">
        <f>IFERROR(__xludf.DUMMYFUNCTION("""COMPUTED_VALUE"""),"CLNE")</f>
        <v>CLNE</v>
      </c>
    </row>
    <row r="836">
      <c r="A836" s="1" t="str">
        <f>IFERROR(__xludf.DUMMYFUNCTION("""COMPUTED_VALUE"""),"CLNN")</f>
        <v>CLNN</v>
      </c>
    </row>
    <row r="837">
      <c r="A837" s="1" t="str">
        <f>IFERROR(__xludf.DUMMYFUNCTION("""COMPUTED_VALUE"""),"CLNNW")</f>
        <v>CLNNW</v>
      </c>
    </row>
    <row r="838">
      <c r="A838" s="1" t="str">
        <f>IFERROR(__xludf.DUMMYFUNCTION("""COMPUTED_VALUE"""),"CLOEU")</f>
        <v>CLOEU</v>
      </c>
    </row>
    <row r="839">
      <c r="A839" s="1" t="str">
        <f>IFERROR(__xludf.DUMMYFUNCTION("""COMPUTED_VALUE"""),"CLOV")</f>
        <v>CLOV</v>
      </c>
    </row>
    <row r="840">
      <c r="A840" s="1" t="str">
        <f>IFERROR(__xludf.DUMMYFUNCTION("""COMPUTED_VALUE"""),"CLOVW")</f>
        <v>CLOVW</v>
      </c>
    </row>
    <row r="841">
      <c r="A841" s="1" t="str">
        <f>IFERROR(__xludf.DUMMYFUNCTION("""COMPUTED_VALUE"""),"CLPS")</f>
        <v>CLPS</v>
      </c>
    </row>
    <row r="842">
      <c r="A842" s="1" t="str">
        <f>IFERROR(__xludf.DUMMYFUNCTION("""COMPUTED_VALUE"""),"CLPT")</f>
        <v>CLPT</v>
      </c>
    </row>
    <row r="843">
      <c r="A843" s="1" t="str">
        <f>IFERROR(__xludf.DUMMYFUNCTION("""COMPUTED_VALUE"""),"CLRB")</f>
        <v>CLRB</v>
      </c>
    </row>
    <row r="844">
      <c r="A844" s="1" t="str">
        <f>IFERROR(__xludf.DUMMYFUNCTION("""COMPUTED_VALUE"""),"CLRM")</f>
        <v>CLRM</v>
      </c>
    </row>
    <row r="845">
      <c r="A845" s="1" t="str">
        <f>IFERROR(__xludf.DUMMYFUNCTION("""COMPUTED_VALUE"""),"CLRMU")</f>
        <v>CLRMU</v>
      </c>
    </row>
    <row r="846">
      <c r="A846" s="1" t="str">
        <f>IFERROR(__xludf.DUMMYFUNCTION("""COMPUTED_VALUE"""),"CLRMW")</f>
        <v>CLRMW</v>
      </c>
    </row>
    <row r="847">
      <c r="A847" s="1" t="str">
        <f>IFERROR(__xludf.DUMMYFUNCTION("""COMPUTED_VALUE"""),"CLRO")</f>
        <v>CLRO</v>
      </c>
    </row>
    <row r="848">
      <c r="A848" s="1" t="str">
        <f>IFERROR(__xludf.DUMMYFUNCTION("""COMPUTED_VALUE"""),"CLSD")</f>
        <v>CLSD</v>
      </c>
    </row>
    <row r="849">
      <c r="A849" s="1" t="str">
        <f>IFERROR(__xludf.DUMMYFUNCTION("""COMPUTED_VALUE"""),"CLSK")</f>
        <v>CLSK</v>
      </c>
    </row>
    <row r="850">
      <c r="A850" s="1" t="str">
        <f>IFERROR(__xludf.DUMMYFUNCTION("""COMPUTED_VALUE"""),"CLSN")</f>
        <v>CLSN</v>
      </c>
    </row>
    <row r="851">
      <c r="A851" s="1" t="str">
        <f>IFERROR(__xludf.DUMMYFUNCTION("""COMPUTED_VALUE"""),"CLVR")</f>
        <v>CLVR</v>
      </c>
    </row>
    <row r="852">
      <c r="A852" s="1" t="str">
        <f>IFERROR(__xludf.DUMMYFUNCTION("""COMPUTED_VALUE"""),"CLVRW")</f>
        <v>CLVRW</v>
      </c>
    </row>
    <row r="853">
      <c r="A853" s="1" t="str">
        <f>IFERROR(__xludf.DUMMYFUNCTION("""COMPUTED_VALUE"""),"CLVS")</f>
        <v>CLVS</v>
      </c>
    </row>
    <row r="854">
      <c r="A854" s="1" t="str">
        <f>IFERROR(__xludf.DUMMYFUNCTION("""COMPUTED_VALUE"""),"CLWT")</f>
        <v>CLWT</v>
      </c>
    </row>
    <row r="855">
      <c r="A855" s="1" t="str">
        <f>IFERROR(__xludf.DUMMYFUNCTION("""COMPUTED_VALUE"""),"CLXT")</f>
        <v>CLXT</v>
      </c>
    </row>
    <row r="856">
      <c r="A856" s="1" t="str">
        <f>IFERROR(__xludf.DUMMYFUNCTION("""COMPUTED_VALUE"""),"CMAX")</f>
        <v>CMAX</v>
      </c>
    </row>
    <row r="857">
      <c r="A857" s="1" t="str">
        <f>IFERROR(__xludf.DUMMYFUNCTION("""COMPUTED_VALUE"""),"CMAXW")</f>
        <v>CMAXW</v>
      </c>
    </row>
    <row r="858">
      <c r="A858" s="1" t="str">
        <f>IFERROR(__xludf.DUMMYFUNCTION("""COMPUTED_VALUE"""),"CMBM")</f>
        <v>CMBM</v>
      </c>
    </row>
    <row r="859">
      <c r="A859" s="1" t="str">
        <f>IFERROR(__xludf.DUMMYFUNCTION("""COMPUTED_VALUE"""),"CMCO")</f>
        <v>CMCO</v>
      </c>
    </row>
    <row r="860">
      <c r="A860" s="1" t="str">
        <f>IFERROR(__xludf.DUMMYFUNCTION("""COMPUTED_VALUE"""),"CMCSA")</f>
        <v>CMCSA</v>
      </c>
    </row>
    <row r="861">
      <c r="A861" s="1" t="str">
        <f>IFERROR(__xludf.DUMMYFUNCTION("""COMPUTED_VALUE"""),"CMCT")</f>
        <v>CMCT</v>
      </c>
    </row>
    <row r="862">
      <c r="A862" s="1" t="str">
        <f>IFERROR(__xludf.DUMMYFUNCTION("""COMPUTED_VALUE"""),"CME")</f>
        <v>CME</v>
      </c>
    </row>
    <row r="863">
      <c r="A863" s="1" t="str">
        <f>IFERROR(__xludf.DUMMYFUNCTION("""COMPUTED_VALUE"""),"CMII")</f>
        <v>CMII</v>
      </c>
    </row>
    <row r="864">
      <c r="A864" s="1" t="str">
        <f>IFERROR(__xludf.DUMMYFUNCTION("""COMPUTED_VALUE"""),"CMIIU")</f>
        <v>CMIIU</v>
      </c>
    </row>
    <row r="865">
      <c r="A865" s="1" t="str">
        <f>IFERROR(__xludf.DUMMYFUNCTION("""COMPUTED_VALUE"""),"CMIIW")</f>
        <v>CMIIW</v>
      </c>
    </row>
    <row r="866">
      <c r="A866" s="1" t="str">
        <f>IFERROR(__xludf.DUMMYFUNCTION("""COMPUTED_VALUE"""),"CMLS")</f>
        <v>CMLS</v>
      </c>
    </row>
    <row r="867">
      <c r="A867" s="1" t="str">
        <f>IFERROR(__xludf.DUMMYFUNCTION("""COMPUTED_VALUE"""),"CMLT")</f>
        <v>CMLT</v>
      </c>
    </row>
    <row r="868">
      <c r="A868" s="1" t="str">
        <f>IFERROR(__xludf.DUMMYFUNCTION("""COMPUTED_VALUE"""),"CMLTU")</f>
        <v>CMLTU</v>
      </c>
    </row>
    <row r="869">
      <c r="A869" s="1" t="str">
        <f>IFERROR(__xludf.DUMMYFUNCTION("""COMPUTED_VALUE"""),"CMLTW")</f>
        <v>CMLTW</v>
      </c>
    </row>
    <row r="870">
      <c r="A870" s="1" t="str">
        <f>IFERROR(__xludf.DUMMYFUNCTION("""COMPUTED_VALUE"""),"CMMB")</f>
        <v>CMMB</v>
      </c>
    </row>
    <row r="871">
      <c r="A871" s="1" t="str">
        <f>IFERROR(__xludf.DUMMYFUNCTION("""COMPUTED_VALUE"""),"CMPI")</f>
        <v>CMPI</v>
      </c>
    </row>
    <row r="872">
      <c r="A872" s="1" t="str">
        <f>IFERROR(__xludf.DUMMYFUNCTION("""COMPUTED_VALUE"""),"CMPR")</f>
        <v>CMPR</v>
      </c>
    </row>
    <row r="873">
      <c r="A873" s="1" t="str">
        <f>IFERROR(__xludf.DUMMYFUNCTION("""COMPUTED_VALUE"""),"CMPS")</f>
        <v>CMPS</v>
      </c>
    </row>
    <row r="874">
      <c r="A874" s="1" t="str">
        <f>IFERROR(__xludf.DUMMYFUNCTION("""COMPUTED_VALUE"""),"CMRX")</f>
        <v>CMRX</v>
      </c>
    </row>
    <row r="875">
      <c r="A875" s="1" t="str">
        <f>IFERROR(__xludf.DUMMYFUNCTION("""COMPUTED_VALUE"""),"CMTL")</f>
        <v>CMTL</v>
      </c>
    </row>
    <row r="876">
      <c r="A876" s="1" t="str">
        <f>IFERROR(__xludf.DUMMYFUNCTION("""COMPUTED_VALUE"""),"CNBKA")</f>
        <v>CNBKA</v>
      </c>
    </row>
    <row r="877">
      <c r="A877" s="1" t="str">
        <f>IFERROR(__xludf.DUMMYFUNCTION("""COMPUTED_VALUE"""),"CNCE")</f>
        <v>CNCE</v>
      </c>
    </row>
    <row r="878">
      <c r="A878" s="1" t="str">
        <f>IFERROR(__xludf.DUMMYFUNCTION("""COMPUTED_VALUE"""),"CNDT")</f>
        <v>CNDT</v>
      </c>
    </row>
    <row r="879">
      <c r="A879" s="1" t="str">
        <f>IFERROR(__xludf.DUMMYFUNCTION("""COMPUTED_VALUE"""),"CNET")</f>
        <v>CNET</v>
      </c>
    </row>
    <row r="880">
      <c r="A880" s="1" t="str">
        <f>IFERROR(__xludf.DUMMYFUNCTION("""COMPUTED_VALUE"""),"CNEY")</f>
        <v>CNEY</v>
      </c>
    </row>
    <row r="881">
      <c r="A881" s="1" t="str">
        <f>IFERROR(__xludf.DUMMYFUNCTION("""COMPUTED_VALUE"""),"CNFR")</f>
        <v>CNFR</v>
      </c>
    </row>
    <row r="882">
      <c r="A882" s="1" t="str">
        <f>IFERROR(__xludf.DUMMYFUNCTION("""COMPUTED_VALUE"""),"CNFRL")</f>
        <v>CNFRL</v>
      </c>
    </row>
    <row r="883">
      <c r="A883" s="1" t="str">
        <f>IFERROR(__xludf.DUMMYFUNCTION("""COMPUTED_VALUE"""),"CNNB")</f>
        <v>CNNB</v>
      </c>
    </row>
    <row r="884">
      <c r="A884" s="1" t="str">
        <f>IFERROR(__xludf.DUMMYFUNCTION("""COMPUTED_VALUE"""),"CNOB")</f>
        <v>CNOB</v>
      </c>
    </row>
    <row r="885">
      <c r="A885" s="1" t="str">
        <f>IFERROR(__xludf.DUMMYFUNCTION("""COMPUTED_VALUE"""),"CNSL")</f>
        <v>CNSL</v>
      </c>
    </row>
    <row r="886">
      <c r="A886" s="1" t="str">
        <f>IFERROR(__xludf.DUMMYFUNCTION("""COMPUTED_VALUE"""),"CNSP")</f>
        <v>CNSP</v>
      </c>
    </row>
    <row r="887">
      <c r="A887" s="1" t="str">
        <f>IFERROR(__xludf.DUMMYFUNCTION("""COMPUTED_VALUE"""),"CNTA")</f>
        <v>CNTA</v>
      </c>
    </row>
    <row r="888">
      <c r="A888" s="1" t="str">
        <f>IFERROR(__xludf.DUMMYFUNCTION("""COMPUTED_VALUE"""),"CNTB")</f>
        <v>CNTB</v>
      </c>
    </row>
    <row r="889">
      <c r="A889" s="1" t="str">
        <f>IFERROR(__xludf.DUMMYFUNCTION("""COMPUTED_VALUE"""),"CNTG")</f>
        <v>CNTG</v>
      </c>
    </row>
    <row r="890">
      <c r="A890" s="1" t="str">
        <f>IFERROR(__xludf.DUMMYFUNCTION("""COMPUTED_VALUE"""),"CNTY")</f>
        <v>CNTY</v>
      </c>
    </row>
    <row r="891">
      <c r="A891" s="1" t="str">
        <f>IFERROR(__xludf.DUMMYFUNCTION("""COMPUTED_VALUE"""),"CNXC")</f>
        <v>CNXC</v>
      </c>
    </row>
    <row r="892">
      <c r="A892" s="1" t="str">
        <f>IFERROR(__xludf.DUMMYFUNCTION("""COMPUTED_VALUE"""),"CNXN")</f>
        <v>CNXN</v>
      </c>
    </row>
    <row r="893">
      <c r="A893" s="1" t="str">
        <f>IFERROR(__xludf.DUMMYFUNCTION("""COMPUTED_VALUE"""),"COCP")</f>
        <v>COCP</v>
      </c>
    </row>
    <row r="894">
      <c r="A894" s="1" t="str">
        <f>IFERROR(__xludf.DUMMYFUNCTION("""COMPUTED_VALUE"""),"CODA")</f>
        <v>CODA</v>
      </c>
    </row>
    <row r="895">
      <c r="A895" s="1" t="str">
        <f>IFERROR(__xludf.DUMMYFUNCTION("""COMPUTED_VALUE"""),"CODX")</f>
        <v>CODX</v>
      </c>
    </row>
    <row r="896">
      <c r="A896" s="1" t="str">
        <f>IFERROR(__xludf.DUMMYFUNCTION("""COMPUTED_VALUE"""),"COFS")</f>
        <v>COFS</v>
      </c>
    </row>
    <row r="897">
      <c r="A897" s="1" t="str">
        <f>IFERROR(__xludf.DUMMYFUNCTION("""COMPUTED_VALUE"""),"COGT")</f>
        <v>COGT</v>
      </c>
    </row>
    <row r="898">
      <c r="A898" s="1" t="str">
        <f>IFERROR(__xludf.DUMMYFUNCTION("""COMPUTED_VALUE"""),"COHR")</f>
        <v>COHR</v>
      </c>
    </row>
    <row r="899">
      <c r="A899" s="1" t="str">
        <f>IFERROR(__xludf.DUMMYFUNCTION("""COMPUTED_VALUE"""),"COHU")</f>
        <v>COHU</v>
      </c>
    </row>
    <row r="900">
      <c r="A900" s="1" t="str">
        <f>IFERROR(__xludf.DUMMYFUNCTION("""COMPUTED_VALUE"""),"COIN")</f>
        <v>COIN</v>
      </c>
    </row>
    <row r="901">
      <c r="A901" s="1" t="str">
        <f>IFERROR(__xludf.DUMMYFUNCTION("""COMPUTED_VALUE"""),"COKE")</f>
        <v>COKE</v>
      </c>
    </row>
    <row r="902">
      <c r="A902" s="1" t="str">
        <f>IFERROR(__xludf.DUMMYFUNCTION("""COMPUTED_VALUE"""),"COLB")</f>
        <v>COLB</v>
      </c>
    </row>
    <row r="903">
      <c r="A903" s="1" t="str">
        <f>IFERROR(__xludf.DUMMYFUNCTION("""COMPUTED_VALUE"""),"COLI")</f>
        <v>COLI</v>
      </c>
    </row>
    <row r="904">
      <c r="A904" s="1" t="str">
        <f>IFERROR(__xludf.DUMMYFUNCTION("""COMPUTED_VALUE"""),"COLIU")</f>
        <v>COLIU</v>
      </c>
    </row>
    <row r="905">
      <c r="A905" s="1" t="str">
        <f>IFERROR(__xludf.DUMMYFUNCTION("""COMPUTED_VALUE"""),"COLIW")</f>
        <v>COLIW</v>
      </c>
    </row>
    <row r="906">
      <c r="A906" s="1" t="str">
        <f>IFERROR(__xludf.DUMMYFUNCTION("""COMPUTED_VALUE"""),"COLL")</f>
        <v>COLL</v>
      </c>
    </row>
    <row r="907">
      <c r="A907" s="1" t="str">
        <f>IFERROR(__xludf.DUMMYFUNCTION("""COMPUTED_VALUE"""),"COLM")</f>
        <v>COLM</v>
      </c>
    </row>
    <row r="908">
      <c r="A908" s="1" t="str">
        <f>IFERROR(__xludf.DUMMYFUNCTION("""COMPUTED_VALUE"""),"COMM")</f>
        <v>COMM</v>
      </c>
    </row>
    <row r="909">
      <c r="A909" s="1" t="str">
        <f>IFERROR(__xludf.DUMMYFUNCTION("""COMPUTED_VALUE"""),"COMS")</f>
        <v>COMS</v>
      </c>
    </row>
    <row r="910">
      <c r="A910" s="1" t="str">
        <f>IFERROR(__xludf.DUMMYFUNCTION("""COMPUTED_VALUE"""),"COMSW")</f>
        <v>COMSW</v>
      </c>
    </row>
    <row r="911">
      <c r="A911" s="1" t="str">
        <f>IFERROR(__xludf.DUMMYFUNCTION("""COMPUTED_VALUE"""),"CONE")</f>
        <v>CONE</v>
      </c>
    </row>
    <row r="912">
      <c r="A912" s="1" t="str">
        <f>IFERROR(__xludf.DUMMYFUNCTION("""COMPUTED_VALUE"""),"CONN")</f>
        <v>CONN</v>
      </c>
    </row>
    <row r="913">
      <c r="A913" s="1" t="str">
        <f>IFERROR(__xludf.DUMMYFUNCTION("""COMPUTED_VALUE"""),"CONX")</f>
        <v>CONX</v>
      </c>
    </row>
    <row r="914">
      <c r="A914" s="1" t="str">
        <f>IFERROR(__xludf.DUMMYFUNCTION("""COMPUTED_VALUE"""),"CONXU")</f>
        <v>CONXU</v>
      </c>
    </row>
    <row r="915">
      <c r="A915" s="1" t="str">
        <f>IFERROR(__xludf.DUMMYFUNCTION("""COMPUTED_VALUE"""),"CONXW")</f>
        <v>CONXW</v>
      </c>
    </row>
    <row r="916">
      <c r="A916" s="1" t="str">
        <f>IFERROR(__xludf.DUMMYFUNCTION("""COMPUTED_VALUE"""),"COOL")</f>
        <v>COOL</v>
      </c>
    </row>
    <row r="917">
      <c r="A917" s="1" t="str">
        <f>IFERROR(__xludf.DUMMYFUNCTION("""COMPUTED_VALUE"""),"COOLU")</f>
        <v>COOLU</v>
      </c>
    </row>
    <row r="918">
      <c r="A918" s="1" t="str">
        <f>IFERROR(__xludf.DUMMYFUNCTION("""COMPUTED_VALUE"""),"COOLW")</f>
        <v>COOLW</v>
      </c>
    </row>
    <row r="919">
      <c r="A919" s="1" t="str">
        <f>IFERROR(__xludf.DUMMYFUNCTION("""COMPUTED_VALUE"""),"COOP")</f>
        <v>COOP</v>
      </c>
    </row>
    <row r="920">
      <c r="A920" s="1" t="str">
        <f>IFERROR(__xludf.DUMMYFUNCTION("""COMPUTED_VALUE"""),"CORE")</f>
        <v>CORE</v>
      </c>
    </row>
    <row r="921">
      <c r="A921" s="1" t="str">
        <f>IFERROR(__xludf.DUMMYFUNCTION("""COMPUTED_VALUE"""),"CORT")</f>
        <v>CORT</v>
      </c>
    </row>
    <row r="922">
      <c r="A922" s="1" t="str">
        <f>IFERROR(__xludf.DUMMYFUNCTION("""COMPUTED_VALUE"""),"COST")</f>
        <v>COST</v>
      </c>
    </row>
    <row r="923">
      <c r="A923" s="1" t="str">
        <f>IFERROR(__xludf.DUMMYFUNCTION("""COMPUTED_VALUE"""),"COUP")</f>
        <v>COUP</v>
      </c>
    </row>
    <row r="924">
      <c r="A924" s="1" t="str">
        <f>IFERROR(__xludf.DUMMYFUNCTION("""COMPUTED_VALUE"""),"COVA")</f>
        <v>COVA</v>
      </c>
    </row>
    <row r="925">
      <c r="A925" s="1" t="str">
        <f>IFERROR(__xludf.DUMMYFUNCTION("""COMPUTED_VALUE"""),"COVAU")</f>
        <v>COVAU</v>
      </c>
    </row>
    <row r="926">
      <c r="A926" s="1" t="str">
        <f>IFERROR(__xludf.DUMMYFUNCTION("""COMPUTED_VALUE"""),"COVAW")</f>
        <v>COVAW</v>
      </c>
    </row>
    <row r="927">
      <c r="A927" s="1" t="str">
        <f>IFERROR(__xludf.DUMMYFUNCTION("""COMPUTED_VALUE"""),"COWN")</f>
        <v>COWN</v>
      </c>
    </row>
    <row r="928">
      <c r="A928" s="1" t="str">
        <f>IFERROR(__xludf.DUMMYFUNCTION("""COMPUTED_VALUE"""),"COWNL")</f>
        <v>COWNL</v>
      </c>
    </row>
    <row r="929">
      <c r="A929" s="1" t="str">
        <f>IFERROR(__xludf.DUMMYFUNCTION("""COMPUTED_VALUE"""),"CPAR")</f>
        <v>CPAR</v>
      </c>
    </row>
    <row r="930">
      <c r="A930" s="1" t="str">
        <f>IFERROR(__xludf.DUMMYFUNCTION("""COMPUTED_VALUE"""),"CPARU")</f>
        <v>CPARU</v>
      </c>
    </row>
    <row r="931">
      <c r="A931" s="1" t="str">
        <f>IFERROR(__xludf.DUMMYFUNCTION("""COMPUTED_VALUE"""),"CPARW")</f>
        <v>CPARW</v>
      </c>
    </row>
    <row r="932">
      <c r="A932" s="1" t="str">
        <f>IFERROR(__xludf.DUMMYFUNCTION("""COMPUTED_VALUE"""),"CPHC")</f>
        <v>CPHC</v>
      </c>
    </row>
    <row r="933">
      <c r="A933" s="1" t="str">
        <f>IFERROR(__xludf.DUMMYFUNCTION("""COMPUTED_VALUE"""),"CPIX")</f>
        <v>CPIX</v>
      </c>
    </row>
    <row r="934">
      <c r="A934" s="1" t="str">
        <f>IFERROR(__xludf.DUMMYFUNCTION("""COMPUTED_VALUE"""),"CPLP")</f>
        <v>CPLP</v>
      </c>
    </row>
    <row r="935">
      <c r="A935" s="1" t="str">
        <f>IFERROR(__xludf.DUMMYFUNCTION("""COMPUTED_VALUE"""),"CPOP")</f>
        <v>CPOP</v>
      </c>
    </row>
    <row r="936">
      <c r="A936" s="1" t="str">
        <f>IFERROR(__xludf.DUMMYFUNCTION("""COMPUTED_VALUE"""),"CPRT")</f>
        <v>CPRT</v>
      </c>
    </row>
    <row r="937">
      <c r="A937" s="1" t="str">
        <f>IFERROR(__xludf.DUMMYFUNCTION("""COMPUTED_VALUE"""),"CPRX")</f>
        <v>CPRX</v>
      </c>
    </row>
    <row r="938">
      <c r="A938" s="1" t="str">
        <f>IFERROR(__xludf.DUMMYFUNCTION("""COMPUTED_VALUE"""),"CPSH")</f>
        <v>CPSH</v>
      </c>
    </row>
    <row r="939">
      <c r="A939" s="1" t="str">
        <f>IFERROR(__xludf.DUMMYFUNCTION("""COMPUTED_VALUE"""),"CPSI")</f>
        <v>CPSI</v>
      </c>
    </row>
    <row r="940">
      <c r="A940" s="1" t="str">
        <f>IFERROR(__xludf.DUMMYFUNCTION("""COMPUTED_VALUE"""),"CPSS")</f>
        <v>CPSS</v>
      </c>
    </row>
    <row r="941">
      <c r="A941" s="1" t="str">
        <f>IFERROR(__xludf.DUMMYFUNCTION("""COMPUTED_VALUE"""),"CPTAG")</f>
        <v>CPTAG</v>
      </c>
    </row>
    <row r="942">
      <c r="A942" s="1" t="str">
        <f>IFERROR(__xludf.DUMMYFUNCTION("""COMPUTED_VALUE"""),"CPTAL")</f>
        <v>CPTAL</v>
      </c>
    </row>
    <row r="943">
      <c r="A943" s="1" t="str">
        <f>IFERROR(__xludf.DUMMYFUNCTION("""COMPUTED_VALUE"""),"CPZ")</f>
        <v>CPZ</v>
      </c>
    </row>
    <row r="944">
      <c r="A944" s="1" t="str">
        <f>IFERROR(__xludf.DUMMYFUNCTION("""COMPUTED_VALUE"""),"CRAI")</f>
        <v>CRAI</v>
      </c>
    </row>
    <row r="945">
      <c r="A945" s="1" t="str">
        <f>IFERROR(__xludf.DUMMYFUNCTION("""COMPUTED_VALUE"""),"CRBP")</f>
        <v>CRBP</v>
      </c>
    </row>
    <row r="946">
      <c r="A946" s="1" t="str">
        <f>IFERROR(__xludf.DUMMYFUNCTION("""COMPUTED_VALUE"""),"CRBU")</f>
        <v>CRBU</v>
      </c>
    </row>
    <row r="947">
      <c r="A947" s="1" t="str">
        <f>IFERROR(__xludf.DUMMYFUNCTION("""COMPUTED_VALUE"""),"CRCT")</f>
        <v>CRCT</v>
      </c>
    </row>
    <row r="948">
      <c r="A948" s="1" t="str">
        <f>IFERROR(__xludf.DUMMYFUNCTION("""COMPUTED_VALUE"""),"CRDF")</f>
        <v>CRDF</v>
      </c>
    </row>
    <row r="949">
      <c r="A949" s="1" t="str">
        <f>IFERROR(__xludf.DUMMYFUNCTION("""COMPUTED_VALUE"""),"CREE")</f>
        <v>CREE</v>
      </c>
    </row>
    <row r="950">
      <c r="A950" s="1" t="str">
        <f>IFERROR(__xludf.DUMMYFUNCTION("""COMPUTED_VALUE"""),"CREG")</f>
        <v>CREG</v>
      </c>
    </row>
    <row r="951">
      <c r="A951" s="1" t="str">
        <f>IFERROR(__xludf.DUMMYFUNCTION("""COMPUTED_VALUE"""),"CRESW")</f>
        <v>CRESW</v>
      </c>
    </row>
    <row r="952">
      <c r="A952" s="1" t="str">
        <f>IFERROR(__xludf.DUMMYFUNCTION("""COMPUTED_VALUE"""),"CRESY")</f>
        <v>CRESY</v>
      </c>
    </row>
    <row r="953">
      <c r="A953" s="1" t="str">
        <f>IFERROR(__xludf.DUMMYFUNCTION("""COMPUTED_VALUE"""),"CREX")</f>
        <v>CREX</v>
      </c>
    </row>
    <row r="954">
      <c r="A954" s="1" t="str">
        <f>IFERROR(__xludf.DUMMYFUNCTION("""COMPUTED_VALUE"""),"CREXW")</f>
        <v>CREXW</v>
      </c>
    </row>
    <row r="955">
      <c r="A955" s="1" t="str">
        <f>IFERROR(__xludf.DUMMYFUNCTION("""COMPUTED_VALUE"""),"CRIS")</f>
        <v>CRIS</v>
      </c>
    </row>
    <row r="956">
      <c r="A956" s="1" t="str">
        <f>IFERROR(__xludf.DUMMYFUNCTION("""COMPUTED_VALUE"""),"CRKN")</f>
        <v>CRKN</v>
      </c>
    </row>
    <row r="957">
      <c r="A957" s="1" t="str">
        <f>IFERROR(__xludf.DUMMYFUNCTION("""COMPUTED_VALUE"""),"CRMD")</f>
        <v>CRMD</v>
      </c>
    </row>
    <row r="958">
      <c r="A958" s="1" t="str">
        <f>IFERROR(__xludf.DUMMYFUNCTION("""COMPUTED_VALUE"""),"CRMT")</f>
        <v>CRMT</v>
      </c>
    </row>
    <row r="959">
      <c r="A959" s="1" t="str">
        <f>IFERROR(__xludf.DUMMYFUNCTION("""COMPUTED_VALUE"""),"CRNC")</f>
        <v>CRNC</v>
      </c>
    </row>
    <row r="960">
      <c r="A960" s="1" t="str">
        <f>IFERROR(__xludf.DUMMYFUNCTION("""COMPUTED_VALUE"""),"CRNT")</f>
        <v>CRNT</v>
      </c>
    </row>
    <row r="961">
      <c r="A961" s="1" t="str">
        <f>IFERROR(__xludf.DUMMYFUNCTION("""COMPUTED_VALUE"""),"CRNX")</f>
        <v>CRNX</v>
      </c>
    </row>
    <row r="962">
      <c r="A962" s="1" t="str">
        <f>IFERROR(__xludf.DUMMYFUNCTION("""COMPUTED_VALUE"""),"CRON")</f>
        <v>CRON</v>
      </c>
    </row>
    <row r="963">
      <c r="A963" s="1" t="str">
        <f>IFERROR(__xludf.DUMMYFUNCTION("""COMPUTED_VALUE"""),"CROX")</f>
        <v>CROX</v>
      </c>
    </row>
    <row r="964">
      <c r="A964" s="1" t="str">
        <f>IFERROR(__xludf.DUMMYFUNCTION("""COMPUTED_VALUE"""),"CRSP")</f>
        <v>CRSP</v>
      </c>
    </row>
    <row r="965">
      <c r="A965" s="1" t="str">
        <f>IFERROR(__xludf.DUMMYFUNCTION("""COMPUTED_VALUE"""),"CRSR")</f>
        <v>CRSR</v>
      </c>
    </row>
    <row r="966">
      <c r="A966" s="1" t="str">
        <f>IFERROR(__xludf.DUMMYFUNCTION("""COMPUTED_VALUE"""),"CRTD")</f>
        <v>CRTD</v>
      </c>
    </row>
    <row r="967">
      <c r="A967" s="1" t="str">
        <f>IFERROR(__xludf.DUMMYFUNCTION("""COMPUTED_VALUE"""),"CRTDW")</f>
        <v>CRTDW</v>
      </c>
    </row>
    <row r="968">
      <c r="A968" s="1" t="str">
        <f>IFERROR(__xludf.DUMMYFUNCTION("""COMPUTED_VALUE"""),"CRTO")</f>
        <v>CRTO</v>
      </c>
    </row>
    <row r="969">
      <c r="A969" s="1" t="str">
        <f>IFERROR(__xludf.DUMMYFUNCTION("""COMPUTED_VALUE"""),"CRTX")</f>
        <v>CRTX</v>
      </c>
    </row>
    <row r="970">
      <c r="A970" s="1" t="str">
        <f>IFERROR(__xludf.DUMMYFUNCTION("""COMPUTED_VALUE"""),"CRUS")</f>
        <v>CRUS</v>
      </c>
    </row>
    <row r="971">
      <c r="A971" s="1" t="str">
        <f>IFERROR(__xludf.DUMMYFUNCTION("""COMPUTED_VALUE"""),"CRVL")</f>
        <v>CRVL</v>
      </c>
    </row>
    <row r="972">
      <c r="A972" s="1" t="str">
        <f>IFERROR(__xludf.DUMMYFUNCTION("""COMPUTED_VALUE"""),"CRVS")</f>
        <v>CRVS</v>
      </c>
    </row>
    <row r="973">
      <c r="A973" s="1" t="str">
        <f>IFERROR(__xludf.DUMMYFUNCTION("""COMPUTED_VALUE"""),"CRWD")</f>
        <v>CRWD</v>
      </c>
    </row>
    <row r="974">
      <c r="A974" s="1" t="str">
        <f>IFERROR(__xludf.DUMMYFUNCTION("""COMPUTED_VALUE"""),"CRWS")</f>
        <v>CRWS</v>
      </c>
    </row>
    <row r="975">
      <c r="A975" s="1" t="str">
        <f>IFERROR(__xludf.DUMMYFUNCTION("""COMPUTED_VALUE"""),"CRZN")</f>
        <v>CRZN</v>
      </c>
    </row>
    <row r="976">
      <c r="A976" s="1" t="str">
        <f>IFERROR(__xludf.DUMMYFUNCTION("""COMPUTED_VALUE"""),"CRZNU")</f>
        <v>CRZNU</v>
      </c>
    </row>
    <row r="977">
      <c r="A977" s="1" t="str">
        <f>IFERROR(__xludf.DUMMYFUNCTION("""COMPUTED_VALUE"""),"CSBR")</f>
        <v>CSBR</v>
      </c>
    </row>
    <row r="978">
      <c r="A978" s="1" t="str">
        <f>IFERROR(__xludf.DUMMYFUNCTION("""COMPUTED_VALUE"""),"CSCO")</f>
        <v>CSCO</v>
      </c>
    </row>
    <row r="979">
      <c r="A979" s="1" t="str">
        <f>IFERROR(__xludf.DUMMYFUNCTION("""COMPUTED_VALUE"""),"CSCW")</f>
        <v>CSCW</v>
      </c>
    </row>
    <row r="980">
      <c r="A980" s="1" t="str">
        <f>IFERROR(__xludf.DUMMYFUNCTION("""COMPUTED_VALUE"""),"CSGP")</f>
        <v>CSGP</v>
      </c>
    </row>
    <row r="981">
      <c r="A981" s="1" t="str">
        <f>IFERROR(__xludf.DUMMYFUNCTION("""COMPUTED_VALUE"""),"CSGS")</f>
        <v>CSGS</v>
      </c>
    </row>
    <row r="982">
      <c r="A982" s="1" t="str">
        <f>IFERROR(__xludf.DUMMYFUNCTION("""COMPUTED_VALUE"""),"CSII")</f>
        <v>CSII</v>
      </c>
    </row>
    <row r="983">
      <c r="A983" s="1" t="str">
        <f>IFERROR(__xludf.DUMMYFUNCTION("""COMPUTED_VALUE"""),"CSIQ")</f>
        <v>CSIQ</v>
      </c>
    </row>
    <row r="984">
      <c r="A984" s="1" t="str">
        <f>IFERROR(__xludf.DUMMYFUNCTION("""COMPUTED_VALUE"""),"CSOD")</f>
        <v>CSOD</v>
      </c>
    </row>
    <row r="985">
      <c r="A985" s="1" t="str">
        <f>IFERROR(__xludf.DUMMYFUNCTION("""COMPUTED_VALUE"""),"CSPI")</f>
        <v>CSPI</v>
      </c>
    </row>
    <row r="986">
      <c r="A986" s="1" t="str">
        <f>IFERROR(__xludf.DUMMYFUNCTION("""COMPUTED_VALUE"""),"CSQ")</f>
        <v>CSQ</v>
      </c>
    </row>
    <row r="987">
      <c r="A987" s="1" t="str">
        <f>IFERROR(__xludf.DUMMYFUNCTION("""COMPUTED_VALUE"""),"CSSE")</f>
        <v>CSSE</v>
      </c>
    </row>
    <row r="988">
      <c r="A988" s="1" t="str">
        <f>IFERROR(__xludf.DUMMYFUNCTION("""COMPUTED_VALUE"""),"CSSEN")</f>
        <v>CSSEN</v>
      </c>
    </row>
    <row r="989">
      <c r="A989" s="1" t="str">
        <f>IFERROR(__xludf.DUMMYFUNCTION("""COMPUTED_VALUE"""),"CSSEP")</f>
        <v>CSSEP</v>
      </c>
    </row>
    <row r="990">
      <c r="A990" s="1" t="str">
        <f>IFERROR(__xludf.DUMMYFUNCTION("""COMPUTED_VALUE"""),"CSTE")</f>
        <v>CSTE</v>
      </c>
    </row>
    <row r="991">
      <c r="A991" s="1" t="str">
        <f>IFERROR(__xludf.DUMMYFUNCTION("""COMPUTED_VALUE"""),"CSTL")</f>
        <v>CSTL</v>
      </c>
    </row>
    <row r="992">
      <c r="A992" s="1" t="str">
        <f>IFERROR(__xludf.DUMMYFUNCTION("""COMPUTED_VALUE"""),"CSTR")</f>
        <v>CSTR</v>
      </c>
    </row>
    <row r="993">
      <c r="A993" s="1" t="str">
        <f>IFERROR(__xludf.DUMMYFUNCTION("""COMPUTED_VALUE"""),"CSWC")</f>
        <v>CSWC</v>
      </c>
    </row>
    <row r="994">
      <c r="A994" s="1" t="str">
        <f>IFERROR(__xludf.DUMMYFUNCTION("""COMPUTED_VALUE"""),"CSWI")</f>
        <v>CSWI</v>
      </c>
    </row>
    <row r="995">
      <c r="A995" s="1" t="str">
        <f>IFERROR(__xludf.DUMMYFUNCTION("""COMPUTED_VALUE"""),"CSX")</f>
        <v>CSX</v>
      </c>
    </row>
    <row r="996">
      <c r="A996" s="1" t="str">
        <f>IFERROR(__xludf.DUMMYFUNCTION("""COMPUTED_VALUE"""),"CTAQ")</f>
        <v>CTAQ</v>
      </c>
    </row>
    <row r="997">
      <c r="A997" s="1" t="str">
        <f>IFERROR(__xludf.DUMMYFUNCTION("""COMPUTED_VALUE"""),"CTAQU")</f>
        <v>CTAQU</v>
      </c>
    </row>
    <row r="998">
      <c r="A998" s="1" t="str">
        <f>IFERROR(__xludf.DUMMYFUNCTION("""COMPUTED_VALUE"""),"CTAQW")</f>
        <v>CTAQW</v>
      </c>
    </row>
    <row r="999">
      <c r="A999" s="1" t="str">
        <f>IFERROR(__xludf.DUMMYFUNCTION("""COMPUTED_VALUE"""),"CTAS")</f>
        <v>CTAS</v>
      </c>
    </row>
    <row r="1000">
      <c r="A1000" s="1" t="str">
        <f>IFERROR(__xludf.DUMMYFUNCTION("""COMPUTED_VALUE"""),"CTBI")</f>
        <v>CTBI</v>
      </c>
    </row>
    <row r="1001">
      <c r="A1001" s="1" t="str">
        <f>IFERROR(__xludf.DUMMYFUNCTION("""COMPUTED_VALUE"""),"CTG")</f>
        <v>CTG</v>
      </c>
    </row>
    <row r="1002">
      <c r="A1002" s="1" t="str">
        <f>IFERROR(__xludf.DUMMYFUNCTION("""COMPUTED_VALUE"""),"CTHR")</f>
        <v>CTHR</v>
      </c>
    </row>
    <row r="1003">
      <c r="A1003" s="1" t="str">
        <f>IFERROR(__xludf.DUMMYFUNCTION("""COMPUTED_VALUE"""),"CTIB")</f>
        <v>CTIB</v>
      </c>
    </row>
    <row r="1004">
      <c r="A1004" s="1" t="str">
        <f>IFERROR(__xludf.DUMMYFUNCTION("""COMPUTED_VALUE"""),"CTIC")</f>
        <v>CTIC</v>
      </c>
    </row>
    <row r="1005">
      <c r="A1005" s="1" t="str">
        <f>IFERROR(__xludf.DUMMYFUNCTION("""COMPUTED_VALUE"""),"CTKB")</f>
        <v>CTKB</v>
      </c>
    </row>
    <row r="1006">
      <c r="A1006" s="1" t="str">
        <f>IFERROR(__xludf.DUMMYFUNCTION("""COMPUTED_VALUE"""),"CTLP")</f>
        <v>CTLP</v>
      </c>
    </row>
    <row r="1007">
      <c r="A1007" s="1" t="str">
        <f>IFERROR(__xludf.DUMMYFUNCTION("""COMPUTED_VALUE"""),"CTMX")</f>
        <v>CTMX</v>
      </c>
    </row>
    <row r="1008">
      <c r="A1008" s="1" t="str">
        <f>IFERROR(__xludf.DUMMYFUNCTION("""COMPUTED_VALUE"""),"CTRE")</f>
        <v>CTRE</v>
      </c>
    </row>
    <row r="1009">
      <c r="A1009" s="1" t="str">
        <f>IFERROR(__xludf.DUMMYFUNCTION("""COMPUTED_VALUE"""),"CTRM")</f>
        <v>CTRM</v>
      </c>
    </row>
    <row r="1010">
      <c r="A1010" s="1" t="str">
        <f>IFERROR(__xludf.DUMMYFUNCTION("""COMPUTED_VALUE"""),"CTRN")</f>
        <v>CTRN</v>
      </c>
    </row>
    <row r="1011">
      <c r="A1011" s="1" t="str">
        <f>IFERROR(__xludf.DUMMYFUNCTION("""COMPUTED_VALUE"""),"CTSH")</f>
        <v>CTSH</v>
      </c>
    </row>
    <row r="1012">
      <c r="A1012" s="1" t="str">
        <f>IFERROR(__xludf.DUMMYFUNCTION("""COMPUTED_VALUE"""),"CTSO")</f>
        <v>CTSO</v>
      </c>
    </row>
    <row r="1013">
      <c r="A1013" s="1" t="str">
        <f>IFERROR(__xludf.DUMMYFUNCTION("""COMPUTED_VALUE"""),"CTXR")</f>
        <v>CTXR</v>
      </c>
    </row>
    <row r="1014">
      <c r="A1014" s="1" t="str">
        <f>IFERROR(__xludf.DUMMYFUNCTION("""COMPUTED_VALUE"""),"CTXRW")</f>
        <v>CTXRW</v>
      </c>
    </row>
    <row r="1015">
      <c r="A1015" s="1" t="str">
        <f>IFERROR(__xludf.DUMMYFUNCTION("""COMPUTED_VALUE"""),"CTXS")</f>
        <v>CTXS</v>
      </c>
    </row>
    <row r="1016">
      <c r="A1016" s="1" t="str">
        <f>IFERROR(__xludf.DUMMYFUNCTION("""COMPUTED_VALUE"""),"CUBA")</f>
        <v>CUBA</v>
      </c>
    </row>
    <row r="1017">
      <c r="A1017" s="1" t="str">
        <f>IFERROR(__xludf.DUMMYFUNCTION("""COMPUTED_VALUE"""),"CUE")</f>
        <v>CUE</v>
      </c>
    </row>
    <row r="1018">
      <c r="A1018" s="1" t="str">
        <f>IFERROR(__xludf.DUMMYFUNCTION("""COMPUTED_VALUE"""),"CUEN")</f>
        <v>CUEN</v>
      </c>
    </row>
    <row r="1019">
      <c r="A1019" s="1" t="str">
        <f>IFERROR(__xludf.DUMMYFUNCTION("""COMPUTED_VALUE"""),"CUENW")</f>
        <v>CUENW</v>
      </c>
    </row>
    <row r="1020">
      <c r="A1020" s="1" t="str">
        <f>IFERROR(__xludf.DUMMYFUNCTION("""COMPUTED_VALUE"""),"CULL")</f>
        <v>CULL</v>
      </c>
    </row>
    <row r="1021">
      <c r="A1021" s="1" t="str">
        <f>IFERROR(__xludf.DUMMYFUNCTION("""COMPUTED_VALUE"""),"CURI")</f>
        <v>CURI</v>
      </c>
    </row>
    <row r="1022">
      <c r="A1022" s="1" t="str">
        <f>IFERROR(__xludf.DUMMYFUNCTION("""COMPUTED_VALUE"""),"CURIW")</f>
        <v>CURIW</v>
      </c>
    </row>
    <row r="1023">
      <c r="A1023" s="1" t="str">
        <f>IFERROR(__xludf.DUMMYFUNCTION("""COMPUTED_VALUE"""),"CUTR")</f>
        <v>CUTR</v>
      </c>
    </row>
    <row r="1024">
      <c r="A1024" s="1" t="str">
        <f>IFERROR(__xludf.DUMMYFUNCTION("""COMPUTED_VALUE"""),"CVAC")</f>
        <v>CVAC</v>
      </c>
    </row>
    <row r="1025">
      <c r="A1025" s="1" t="str">
        <f>IFERROR(__xludf.DUMMYFUNCTION("""COMPUTED_VALUE"""),"CVBF")</f>
        <v>CVBF</v>
      </c>
    </row>
    <row r="1026">
      <c r="A1026" s="1" t="str">
        <f>IFERROR(__xludf.DUMMYFUNCTION("""COMPUTED_VALUE"""),"CVCO")</f>
        <v>CVCO</v>
      </c>
    </row>
    <row r="1027">
      <c r="A1027" s="1" t="str">
        <f>IFERROR(__xludf.DUMMYFUNCTION("""COMPUTED_VALUE"""),"CVCY")</f>
        <v>CVCY</v>
      </c>
    </row>
    <row r="1028">
      <c r="A1028" s="1" t="str">
        <f>IFERROR(__xludf.DUMMYFUNCTION("""COMPUTED_VALUE"""),"CVET")</f>
        <v>CVET</v>
      </c>
    </row>
    <row r="1029">
      <c r="A1029" s="1" t="str">
        <f>IFERROR(__xludf.DUMMYFUNCTION("""COMPUTED_VALUE"""),"CVGI")</f>
        <v>CVGI</v>
      </c>
    </row>
    <row r="1030">
      <c r="A1030" s="1" t="str">
        <f>IFERROR(__xludf.DUMMYFUNCTION("""COMPUTED_VALUE"""),"CVGW")</f>
        <v>CVGW</v>
      </c>
    </row>
    <row r="1031">
      <c r="A1031" s="1" t="str">
        <f>IFERROR(__xludf.DUMMYFUNCTION("""COMPUTED_VALUE"""),"CVLG")</f>
        <v>CVLG</v>
      </c>
    </row>
    <row r="1032">
      <c r="A1032" s="1" t="str">
        <f>IFERROR(__xludf.DUMMYFUNCTION("""COMPUTED_VALUE"""),"CVLT")</f>
        <v>CVLT</v>
      </c>
    </row>
    <row r="1033">
      <c r="A1033" s="1" t="str">
        <f>IFERROR(__xludf.DUMMYFUNCTION("""COMPUTED_VALUE"""),"CVLY")</f>
        <v>CVLY</v>
      </c>
    </row>
    <row r="1034">
      <c r="A1034" s="1" t="str">
        <f>IFERROR(__xludf.DUMMYFUNCTION("""COMPUTED_VALUE"""),"CVRX")</f>
        <v>CVRX</v>
      </c>
    </row>
    <row r="1035">
      <c r="A1035" s="1" t="str">
        <f>IFERROR(__xludf.DUMMYFUNCTION("""COMPUTED_VALUE"""),"CVV")</f>
        <v>CVV</v>
      </c>
    </row>
    <row r="1036">
      <c r="A1036" s="1" t="str">
        <f>IFERROR(__xludf.DUMMYFUNCTION("""COMPUTED_VALUE"""),"CWBC")</f>
        <v>CWBC</v>
      </c>
    </row>
    <row r="1037">
      <c r="A1037" s="1" t="str">
        <f>IFERROR(__xludf.DUMMYFUNCTION("""COMPUTED_VALUE"""),"CWBR")</f>
        <v>CWBR</v>
      </c>
    </row>
    <row r="1038">
      <c r="A1038" s="1" t="str">
        <f>IFERROR(__xludf.DUMMYFUNCTION("""COMPUTED_VALUE"""),"CWCO")</f>
        <v>CWCO</v>
      </c>
    </row>
    <row r="1039">
      <c r="A1039" s="1" t="str">
        <f>IFERROR(__xludf.DUMMYFUNCTION("""COMPUTED_VALUE"""),"CWST")</f>
        <v>CWST</v>
      </c>
    </row>
    <row r="1040">
      <c r="A1040" s="1" t="str">
        <f>IFERROR(__xludf.DUMMYFUNCTION("""COMPUTED_VALUE"""),"CXDC")</f>
        <v>CXDC</v>
      </c>
    </row>
    <row r="1041">
      <c r="A1041" s="1" t="str">
        <f>IFERROR(__xludf.DUMMYFUNCTION("""COMPUTED_VALUE"""),"CXDO")</f>
        <v>CXDO</v>
      </c>
    </row>
    <row r="1042">
      <c r="A1042" s="1" t="str">
        <f>IFERROR(__xludf.DUMMYFUNCTION("""COMPUTED_VALUE"""),"CYAD")</f>
        <v>CYAD</v>
      </c>
    </row>
    <row r="1043">
      <c r="A1043" s="1" t="str">
        <f>IFERROR(__xludf.DUMMYFUNCTION("""COMPUTED_VALUE"""),"CYAN")</f>
        <v>CYAN</v>
      </c>
    </row>
    <row r="1044">
      <c r="A1044" s="1" t="str">
        <f>IFERROR(__xludf.DUMMYFUNCTION("""COMPUTED_VALUE"""),"CYBE")</f>
        <v>CYBE</v>
      </c>
    </row>
    <row r="1045">
      <c r="A1045" s="1" t="str">
        <f>IFERROR(__xludf.DUMMYFUNCTION("""COMPUTED_VALUE"""),"CYBR")</f>
        <v>CYBR</v>
      </c>
    </row>
    <row r="1046">
      <c r="A1046" s="1" t="str">
        <f>IFERROR(__xludf.DUMMYFUNCTION("""COMPUTED_VALUE"""),"CYCC")</f>
        <v>CYCC</v>
      </c>
    </row>
    <row r="1047">
      <c r="A1047" s="1" t="str">
        <f>IFERROR(__xludf.DUMMYFUNCTION("""COMPUTED_VALUE"""),"CYCCP")</f>
        <v>CYCCP</v>
      </c>
    </row>
    <row r="1048">
      <c r="A1048" s="1" t="str">
        <f>IFERROR(__xludf.DUMMYFUNCTION("""COMPUTED_VALUE"""),"CYCN")</f>
        <v>CYCN</v>
      </c>
    </row>
    <row r="1049">
      <c r="A1049" s="1" t="str">
        <f>IFERROR(__xludf.DUMMYFUNCTION("""COMPUTED_VALUE"""),"CYRN")</f>
        <v>CYRN</v>
      </c>
    </row>
    <row r="1050">
      <c r="A1050" s="1" t="str">
        <f>IFERROR(__xludf.DUMMYFUNCTION("""COMPUTED_VALUE"""),"CYRX")</f>
        <v>CYRX</v>
      </c>
    </row>
    <row r="1051">
      <c r="A1051" s="1" t="str">
        <f>IFERROR(__xludf.DUMMYFUNCTION("""COMPUTED_VALUE"""),"CYT")</f>
        <v>CYT</v>
      </c>
    </row>
    <row r="1052">
      <c r="A1052" s="1" t="str">
        <f>IFERROR(__xludf.DUMMYFUNCTION("""COMPUTED_VALUE"""),"CYTH")</f>
        <v>CYTH</v>
      </c>
    </row>
    <row r="1053">
      <c r="A1053" s="1" t="str">
        <f>IFERROR(__xludf.DUMMYFUNCTION("""COMPUTED_VALUE"""),"CYTHW")</f>
        <v>CYTHW</v>
      </c>
    </row>
    <row r="1054">
      <c r="A1054" s="1" t="str">
        <f>IFERROR(__xludf.DUMMYFUNCTION("""COMPUTED_VALUE"""),"CYTK")</f>
        <v>CYTK</v>
      </c>
    </row>
    <row r="1055">
      <c r="A1055" s="1" t="str">
        <f>IFERROR(__xludf.DUMMYFUNCTION("""COMPUTED_VALUE"""),"CYTO")</f>
        <v>CYTO</v>
      </c>
    </row>
    <row r="1056">
      <c r="A1056" s="1" t="str">
        <f>IFERROR(__xludf.DUMMYFUNCTION("""COMPUTED_VALUE"""),"CYXT")</f>
        <v>CYXT</v>
      </c>
    </row>
    <row r="1057">
      <c r="A1057" s="1" t="str">
        <f>IFERROR(__xludf.DUMMYFUNCTION("""COMPUTED_VALUE"""),"CYXTW")</f>
        <v>CYXTW</v>
      </c>
    </row>
    <row r="1058">
      <c r="A1058" s="1" t="str">
        <f>IFERROR(__xludf.DUMMYFUNCTION("""COMPUTED_VALUE"""),"CZNC")</f>
        <v>CZNC</v>
      </c>
    </row>
    <row r="1059">
      <c r="A1059" s="1" t="str">
        <f>IFERROR(__xludf.DUMMYFUNCTION("""COMPUTED_VALUE"""),"CZR")</f>
        <v>CZR</v>
      </c>
    </row>
    <row r="1060">
      <c r="A1060" s="1" t="str">
        <f>IFERROR(__xludf.DUMMYFUNCTION("""COMPUTED_VALUE"""),"CZWI")</f>
        <v>CZWI</v>
      </c>
    </row>
    <row r="1061">
      <c r="A1061" s="1" t="str">
        <f>IFERROR(__xludf.DUMMYFUNCTION("""COMPUTED_VALUE"""),"DADA")</f>
        <v>DADA</v>
      </c>
    </row>
    <row r="1062">
      <c r="A1062" s="1" t="str">
        <f>IFERROR(__xludf.DUMMYFUNCTION("""COMPUTED_VALUE"""),"DAIO")</f>
        <v>DAIO</v>
      </c>
    </row>
    <row r="1063">
      <c r="A1063" s="1" t="str">
        <f>IFERROR(__xludf.DUMMYFUNCTION("""COMPUTED_VALUE"""),"DAKT")</f>
        <v>DAKT</v>
      </c>
    </row>
    <row r="1064">
      <c r="A1064" s="1" t="str">
        <f>IFERROR(__xludf.DUMMYFUNCTION("""COMPUTED_VALUE"""),"DALN")</f>
        <v>DALN</v>
      </c>
    </row>
    <row r="1065">
      <c r="A1065" s="1" t="str">
        <f>IFERROR(__xludf.DUMMYFUNCTION("""COMPUTED_VALUE"""),"DALS")</f>
        <v>DALS</v>
      </c>
    </row>
    <row r="1066">
      <c r="A1066" s="1" t="str">
        <f>IFERROR(__xludf.DUMMYFUNCTION("""COMPUTED_VALUE"""),"DARE")</f>
        <v>DARE</v>
      </c>
    </row>
    <row r="1067">
      <c r="A1067" s="1" t="str">
        <f>IFERROR(__xludf.DUMMYFUNCTION("""COMPUTED_VALUE"""),"DAWN")</f>
        <v>DAWN</v>
      </c>
    </row>
    <row r="1068">
      <c r="A1068" s="1" t="str">
        <f>IFERROR(__xludf.DUMMYFUNCTION("""COMPUTED_VALUE"""),"DBDR")</f>
        <v>DBDR</v>
      </c>
    </row>
    <row r="1069">
      <c r="A1069" s="1" t="str">
        <f>IFERROR(__xludf.DUMMYFUNCTION("""COMPUTED_VALUE"""),"DBDRW")</f>
        <v>DBDRW</v>
      </c>
    </row>
    <row r="1070">
      <c r="A1070" s="1" t="str">
        <f>IFERROR(__xludf.DUMMYFUNCTION("""COMPUTED_VALUE"""),"DBGI")</f>
        <v>DBGI</v>
      </c>
    </row>
    <row r="1071">
      <c r="A1071" s="1" t="str">
        <f>IFERROR(__xludf.DUMMYFUNCTION("""COMPUTED_VALUE"""),"DBGIW")</f>
        <v>DBGIW</v>
      </c>
    </row>
    <row r="1072">
      <c r="A1072" s="1" t="str">
        <f>IFERROR(__xludf.DUMMYFUNCTION("""COMPUTED_VALUE"""),"DBTX")</f>
        <v>DBTX</v>
      </c>
    </row>
    <row r="1073">
      <c r="A1073" s="1" t="str">
        <f>IFERROR(__xludf.DUMMYFUNCTION("""COMPUTED_VALUE"""),"DBVT")</f>
        <v>DBVT</v>
      </c>
    </row>
    <row r="1074">
      <c r="A1074" s="1" t="str">
        <f>IFERROR(__xludf.DUMMYFUNCTION("""COMPUTED_VALUE"""),"DBX")</f>
        <v>DBX</v>
      </c>
    </row>
    <row r="1075">
      <c r="A1075" s="1" t="str">
        <f>IFERROR(__xludf.DUMMYFUNCTION("""COMPUTED_VALUE"""),"DCBO")</f>
        <v>DCBO</v>
      </c>
    </row>
    <row r="1076">
      <c r="A1076" s="1" t="str">
        <f>IFERROR(__xludf.DUMMYFUNCTION("""COMPUTED_VALUE"""),"DCOM")</f>
        <v>DCOM</v>
      </c>
    </row>
    <row r="1077">
      <c r="A1077" s="1" t="str">
        <f>IFERROR(__xludf.DUMMYFUNCTION("""COMPUTED_VALUE"""),"DCOMP")</f>
        <v>DCOMP</v>
      </c>
    </row>
    <row r="1078">
      <c r="A1078" s="1" t="str">
        <f>IFERROR(__xludf.DUMMYFUNCTION("""COMPUTED_VALUE"""),"DCPH")</f>
        <v>DCPH</v>
      </c>
    </row>
    <row r="1079">
      <c r="A1079" s="1" t="str">
        <f>IFERROR(__xludf.DUMMYFUNCTION("""COMPUTED_VALUE"""),"DCRC")</f>
        <v>DCRC</v>
      </c>
    </row>
    <row r="1080">
      <c r="A1080" s="1" t="str">
        <f>IFERROR(__xludf.DUMMYFUNCTION("""COMPUTED_VALUE"""),"DCRCU")</f>
        <v>DCRCU</v>
      </c>
    </row>
    <row r="1081">
      <c r="A1081" s="1" t="str">
        <f>IFERROR(__xludf.DUMMYFUNCTION("""COMPUTED_VALUE"""),"DCRCW")</f>
        <v>DCRCW</v>
      </c>
    </row>
    <row r="1082">
      <c r="A1082" s="1" t="str">
        <f>IFERROR(__xludf.DUMMYFUNCTION("""COMPUTED_VALUE"""),"DCRN")</f>
        <v>DCRN</v>
      </c>
    </row>
    <row r="1083">
      <c r="A1083" s="1" t="str">
        <f>IFERROR(__xludf.DUMMYFUNCTION("""COMPUTED_VALUE"""),"DCRNU")</f>
        <v>DCRNU</v>
      </c>
    </row>
    <row r="1084">
      <c r="A1084" s="1" t="str">
        <f>IFERROR(__xludf.DUMMYFUNCTION("""COMPUTED_VALUE"""),"DCRNW")</f>
        <v>DCRNW</v>
      </c>
    </row>
    <row r="1085">
      <c r="A1085" s="1" t="str">
        <f>IFERROR(__xludf.DUMMYFUNCTION("""COMPUTED_VALUE"""),"DCT")</f>
        <v>DCT</v>
      </c>
    </row>
    <row r="1086">
      <c r="A1086" s="1" t="str">
        <f>IFERROR(__xludf.DUMMYFUNCTION("""COMPUTED_VALUE"""),"DCTH")</f>
        <v>DCTH</v>
      </c>
    </row>
    <row r="1087">
      <c r="A1087" s="1" t="str">
        <f>IFERROR(__xludf.DUMMYFUNCTION("""COMPUTED_VALUE"""),"DDMX")</f>
        <v>DDMX</v>
      </c>
    </row>
    <row r="1088">
      <c r="A1088" s="1" t="str">
        <f>IFERROR(__xludf.DUMMYFUNCTION("""COMPUTED_VALUE"""),"DDMXW")</f>
        <v>DDMXW</v>
      </c>
    </row>
    <row r="1089">
      <c r="A1089" s="1" t="str">
        <f>IFERROR(__xludf.DUMMYFUNCTION("""COMPUTED_VALUE"""),"DDOG")</f>
        <v>DDOG</v>
      </c>
    </row>
    <row r="1090">
      <c r="A1090" s="1" t="str">
        <f>IFERROR(__xludf.DUMMYFUNCTION("""COMPUTED_VALUE"""),"DENN")</f>
        <v>DENN</v>
      </c>
    </row>
    <row r="1091">
      <c r="A1091" s="1" t="str">
        <f>IFERROR(__xludf.DUMMYFUNCTION("""COMPUTED_VALUE"""),"DFFN")</f>
        <v>DFFN</v>
      </c>
    </row>
    <row r="1092">
      <c r="A1092" s="1" t="str">
        <f>IFERROR(__xludf.DUMMYFUNCTION("""COMPUTED_VALUE"""),"DFH")</f>
        <v>DFH</v>
      </c>
    </row>
    <row r="1093">
      <c r="A1093" s="1" t="str">
        <f>IFERROR(__xludf.DUMMYFUNCTION("""COMPUTED_VALUE"""),"DFPH")</f>
        <v>DFPH</v>
      </c>
    </row>
    <row r="1094">
      <c r="A1094" s="1" t="str">
        <f>IFERROR(__xludf.DUMMYFUNCTION("""COMPUTED_VALUE"""),"DFPHW")</f>
        <v>DFPHW</v>
      </c>
    </row>
    <row r="1095">
      <c r="A1095" s="1" t="str">
        <f>IFERROR(__xludf.DUMMYFUNCTION("""COMPUTED_VALUE"""),"DGICA")</f>
        <v>DGICA</v>
      </c>
    </row>
    <row r="1096">
      <c r="A1096" s="1" t="str">
        <f>IFERROR(__xludf.DUMMYFUNCTION("""COMPUTED_VALUE"""),"DGICB")</f>
        <v>DGICB</v>
      </c>
    </row>
    <row r="1097">
      <c r="A1097" s="1" t="str">
        <f>IFERROR(__xludf.DUMMYFUNCTION("""COMPUTED_VALUE"""),"DGII")</f>
        <v>DGII</v>
      </c>
    </row>
    <row r="1098">
      <c r="A1098" s="1" t="str">
        <f>IFERROR(__xludf.DUMMYFUNCTION("""COMPUTED_VALUE"""),"DGLY")</f>
        <v>DGLY</v>
      </c>
    </row>
    <row r="1099">
      <c r="A1099" s="1" t="str">
        <f>IFERROR(__xludf.DUMMYFUNCTION("""COMPUTED_VALUE"""),"DGNS")</f>
        <v>DGNS</v>
      </c>
    </row>
    <row r="1100">
      <c r="A1100" s="1" t="str">
        <f>IFERROR(__xludf.DUMMYFUNCTION("""COMPUTED_VALUE"""),"DGNU")</f>
        <v>DGNU</v>
      </c>
    </row>
    <row r="1101">
      <c r="A1101" s="1" t="str">
        <f>IFERROR(__xludf.DUMMYFUNCTION("""COMPUTED_VALUE"""),"DHBC")</f>
        <v>DHBC</v>
      </c>
    </row>
    <row r="1102">
      <c r="A1102" s="1" t="str">
        <f>IFERROR(__xludf.DUMMYFUNCTION("""COMPUTED_VALUE"""),"DHBCU")</f>
        <v>DHBCU</v>
      </c>
    </row>
    <row r="1103">
      <c r="A1103" s="1" t="str">
        <f>IFERROR(__xludf.DUMMYFUNCTION("""COMPUTED_VALUE"""),"DHBCW")</f>
        <v>DHBCW</v>
      </c>
    </row>
    <row r="1104">
      <c r="A1104" s="1" t="str">
        <f>IFERROR(__xludf.DUMMYFUNCTION("""COMPUTED_VALUE"""),"DHC")</f>
        <v>DHC</v>
      </c>
    </row>
    <row r="1105">
      <c r="A1105" s="1" t="str">
        <f>IFERROR(__xludf.DUMMYFUNCTION("""COMPUTED_VALUE"""),"DHCA")</f>
        <v>DHCA</v>
      </c>
    </row>
    <row r="1106">
      <c r="A1106" s="1" t="str">
        <f>IFERROR(__xludf.DUMMYFUNCTION("""COMPUTED_VALUE"""),"DHCAU")</f>
        <v>DHCAU</v>
      </c>
    </row>
    <row r="1107">
      <c r="A1107" s="1" t="str">
        <f>IFERROR(__xludf.DUMMYFUNCTION("""COMPUTED_VALUE"""),"DHCAW")</f>
        <v>DHCAW</v>
      </c>
    </row>
    <row r="1108">
      <c r="A1108" s="1" t="str">
        <f>IFERROR(__xludf.DUMMYFUNCTION("""COMPUTED_VALUE"""),"DHCNI")</f>
        <v>DHCNI</v>
      </c>
    </row>
    <row r="1109">
      <c r="A1109" s="1" t="str">
        <f>IFERROR(__xludf.DUMMYFUNCTION("""COMPUTED_VALUE"""),"DHCNL")</f>
        <v>DHCNL</v>
      </c>
    </row>
    <row r="1110">
      <c r="A1110" s="1" t="str">
        <f>IFERROR(__xludf.DUMMYFUNCTION("""COMPUTED_VALUE"""),"DHHC")</f>
        <v>DHHC</v>
      </c>
    </row>
    <row r="1111">
      <c r="A1111" s="1" t="str">
        <f>IFERROR(__xludf.DUMMYFUNCTION("""COMPUTED_VALUE"""),"DHHCU")</f>
        <v>DHHCU</v>
      </c>
    </row>
    <row r="1112">
      <c r="A1112" s="1" t="str">
        <f>IFERROR(__xludf.DUMMYFUNCTION("""COMPUTED_VALUE"""),"DHHCW")</f>
        <v>DHHCW</v>
      </c>
    </row>
    <row r="1113">
      <c r="A1113" s="1" t="str">
        <f>IFERROR(__xludf.DUMMYFUNCTION("""COMPUTED_VALUE"""),"DHIL")</f>
        <v>DHIL</v>
      </c>
    </row>
    <row r="1114">
      <c r="A1114" s="1" t="str">
        <f>IFERROR(__xludf.DUMMYFUNCTION("""COMPUTED_VALUE"""),"DIBS")</f>
        <v>DIBS</v>
      </c>
    </row>
    <row r="1115">
      <c r="A1115" s="1" t="str">
        <f>IFERROR(__xludf.DUMMYFUNCTION("""COMPUTED_VALUE"""),"DILA")</f>
        <v>DILA</v>
      </c>
    </row>
    <row r="1116">
      <c r="A1116" s="1" t="str">
        <f>IFERROR(__xludf.DUMMYFUNCTION("""COMPUTED_VALUE"""),"DILAU")</f>
        <v>DILAU</v>
      </c>
    </row>
    <row r="1117">
      <c r="A1117" s="1" t="str">
        <f>IFERROR(__xludf.DUMMYFUNCTION("""COMPUTED_VALUE"""),"DILAW")</f>
        <v>DILAW</v>
      </c>
    </row>
    <row r="1118">
      <c r="A1118" s="1" t="str">
        <f>IFERROR(__xludf.DUMMYFUNCTION("""COMPUTED_VALUE"""),"DIOD")</f>
        <v>DIOD</v>
      </c>
    </row>
    <row r="1119">
      <c r="A1119" s="1" t="str">
        <f>IFERROR(__xludf.DUMMYFUNCTION("""COMPUTED_VALUE"""),"DISAU")</f>
        <v>DISAU</v>
      </c>
    </row>
    <row r="1120">
      <c r="A1120" s="1" t="str">
        <f>IFERROR(__xludf.DUMMYFUNCTION("""COMPUTED_VALUE"""),"DISAW")</f>
        <v>DISAW</v>
      </c>
    </row>
    <row r="1121">
      <c r="A1121" s="1" t="str">
        <f>IFERROR(__xludf.DUMMYFUNCTION("""COMPUTED_VALUE"""),"DISCA")</f>
        <v>DISCA</v>
      </c>
    </row>
    <row r="1122">
      <c r="A1122" s="1" t="str">
        <f>IFERROR(__xludf.DUMMYFUNCTION("""COMPUTED_VALUE"""),"DISCB")</f>
        <v>DISCB</v>
      </c>
    </row>
    <row r="1123">
      <c r="A1123" s="1" t="str">
        <f>IFERROR(__xludf.DUMMYFUNCTION("""COMPUTED_VALUE"""),"DISCK")</f>
        <v>DISCK</v>
      </c>
    </row>
    <row r="1124">
      <c r="A1124" s="1" t="str">
        <f>IFERROR(__xludf.DUMMYFUNCTION("""COMPUTED_VALUE"""),"DISH")</f>
        <v>DISH</v>
      </c>
    </row>
    <row r="1125">
      <c r="A1125" s="1" t="str">
        <f>IFERROR(__xludf.DUMMYFUNCTION("""COMPUTED_VALUE"""),"DJCO")</f>
        <v>DJCO</v>
      </c>
    </row>
    <row r="1126">
      <c r="A1126" s="1" t="str">
        <f>IFERROR(__xludf.DUMMYFUNCTION("""COMPUTED_VALUE"""),"DKDCA")</f>
        <v>DKDCA</v>
      </c>
    </row>
    <row r="1127">
      <c r="A1127" s="1" t="str">
        <f>IFERROR(__xludf.DUMMYFUNCTION("""COMPUTED_VALUE"""),"DKDCW")</f>
        <v>DKDCW</v>
      </c>
    </row>
    <row r="1128">
      <c r="A1128" s="1" t="str">
        <f>IFERROR(__xludf.DUMMYFUNCTION("""COMPUTED_VALUE"""),"DKNG")</f>
        <v>DKNG</v>
      </c>
    </row>
    <row r="1129">
      <c r="A1129" s="1" t="str">
        <f>IFERROR(__xludf.DUMMYFUNCTION("""COMPUTED_VALUE"""),"DLCA")</f>
        <v>DLCA</v>
      </c>
    </row>
    <row r="1130">
      <c r="A1130" s="1" t="str">
        <f>IFERROR(__xludf.DUMMYFUNCTION("""COMPUTED_VALUE"""),"DLCAU")</f>
        <v>DLCAU</v>
      </c>
    </row>
    <row r="1131">
      <c r="A1131" s="1" t="str">
        <f>IFERROR(__xludf.DUMMYFUNCTION("""COMPUTED_VALUE"""),"DLCAW")</f>
        <v>DLCAW</v>
      </c>
    </row>
    <row r="1132">
      <c r="A1132" s="1" t="str">
        <f>IFERROR(__xludf.DUMMYFUNCTION("""COMPUTED_VALUE"""),"DLHC")</f>
        <v>DLHC</v>
      </c>
    </row>
    <row r="1133">
      <c r="A1133" s="1" t="str">
        <f>IFERROR(__xludf.DUMMYFUNCTION("""COMPUTED_VALUE"""),"DLO")</f>
        <v>DLO</v>
      </c>
    </row>
    <row r="1134">
      <c r="A1134" s="1" t="str">
        <f>IFERROR(__xludf.DUMMYFUNCTION("""COMPUTED_VALUE"""),"DLPN")</f>
        <v>DLPN</v>
      </c>
    </row>
    <row r="1135">
      <c r="A1135" s="1" t="str">
        <f>IFERROR(__xludf.DUMMYFUNCTION("""COMPUTED_VALUE"""),"DLTH")</f>
        <v>DLTH</v>
      </c>
    </row>
    <row r="1136">
      <c r="A1136" s="1" t="str">
        <f>IFERROR(__xludf.DUMMYFUNCTION("""COMPUTED_VALUE"""),"DLTR")</f>
        <v>DLTR</v>
      </c>
    </row>
    <row r="1137">
      <c r="A1137" s="1" t="str">
        <f>IFERROR(__xludf.DUMMYFUNCTION("""COMPUTED_VALUE"""),"DMAC")</f>
        <v>DMAC</v>
      </c>
    </row>
    <row r="1138">
      <c r="A1138" s="1" t="str">
        <f>IFERROR(__xludf.DUMMYFUNCTION("""COMPUTED_VALUE"""),"DMLP")</f>
        <v>DMLP</v>
      </c>
    </row>
    <row r="1139">
      <c r="A1139" s="1" t="str">
        <f>IFERROR(__xludf.DUMMYFUNCTION("""COMPUTED_VALUE"""),"DMRC")</f>
        <v>DMRC</v>
      </c>
    </row>
    <row r="1140">
      <c r="A1140" s="1" t="str">
        <f>IFERROR(__xludf.DUMMYFUNCTION("""COMPUTED_VALUE"""),"DMTK")</f>
        <v>DMTK</v>
      </c>
    </row>
    <row r="1141">
      <c r="A1141" s="1" t="str">
        <f>IFERROR(__xludf.DUMMYFUNCTION("""COMPUTED_VALUE"""),"DNAA")</f>
        <v>DNAA</v>
      </c>
    </row>
    <row r="1142">
      <c r="A1142" s="1" t="str">
        <f>IFERROR(__xludf.DUMMYFUNCTION("""COMPUTED_VALUE"""),"DNAB")</f>
        <v>DNAB</v>
      </c>
    </row>
    <row r="1143">
      <c r="A1143" s="1" t="str">
        <f>IFERROR(__xludf.DUMMYFUNCTION("""COMPUTED_VALUE"""),"DNAC")</f>
        <v>DNAC</v>
      </c>
    </row>
    <row r="1144">
      <c r="A1144" s="1" t="str">
        <f>IFERROR(__xludf.DUMMYFUNCTION("""COMPUTED_VALUE"""),"DNAD")</f>
        <v>DNAD</v>
      </c>
    </row>
    <row r="1145">
      <c r="A1145" s="1" t="str">
        <f>IFERROR(__xludf.DUMMYFUNCTION("""COMPUTED_VALUE"""),"DNAY")</f>
        <v>DNAY</v>
      </c>
    </row>
    <row r="1146">
      <c r="A1146" s="1" t="str">
        <f>IFERROR(__xludf.DUMMYFUNCTION("""COMPUTED_VALUE"""),"DNLI")</f>
        <v>DNLI</v>
      </c>
    </row>
    <row r="1147">
      <c r="A1147" s="1" t="str">
        <f>IFERROR(__xludf.DUMMYFUNCTION("""COMPUTED_VALUE"""),"DNUT")</f>
        <v>DNUT</v>
      </c>
    </row>
    <row r="1148">
      <c r="A1148" s="1" t="str">
        <f>IFERROR(__xludf.DUMMYFUNCTION("""COMPUTED_VALUE"""),"DOCU")</f>
        <v>DOCU</v>
      </c>
    </row>
    <row r="1149">
      <c r="A1149" s="1" t="str">
        <f>IFERROR(__xludf.DUMMYFUNCTION("""COMPUTED_VALUE"""),"DOGZ")</f>
        <v>DOGZ</v>
      </c>
    </row>
    <row r="1150">
      <c r="A1150" s="1" t="str">
        <f>IFERROR(__xludf.DUMMYFUNCTION("""COMPUTED_VALUE"""),"DOMO")</f>
        <v>DOMO</v>
      </c>
    </row>
    <row r="1151">
      <c r="A1151" s="1" t="str">
        <f>IFERROR(__xludf.DUMMYFUNCTION("""COMPUTED_VALUE"""),"DOOO")</f>
        <v>DOOO</v>
      </c>
    </row>
    <row r="1152">
      <c r="A1152" s="1" t="str">
        <f>IFERROR(__xludf.DUMMYFUNCTION("""COMPUTED_VALUE"""),"DORM")</f>
        <v>DORM</v>
      </c>
    </row>
    <row r="1153">
      <c r="A1153" s="1" t="str">
        <f>IFERROR(__xludf.DUMMYFUNCTION("""COMPUTED_VALUE"""),"DOX")</f>
        <v>DOX</v>
      </c>
    </row>
    <row r="1154">
      <c r="A1154" s="1" t="str">
        <f>IFERROR(__xludf.DUMMYFUNCTION("""COMPUTED_VALUE"""),"DOYU")</f>
        <v>DOYU</v>
      </c>
    </row>
    <row r="1155">
      <c r="A1155" s="1" t="str">
        <f>IFERROR(__xludf.DUMMYFUNCTION("""COMPUTED_VALUE"""),"DPRO")</f>
        <v>DPRO</v>
      </c>
    </row>
    <row r="1156">
      <c r="A1156" s="1" t="str">
        <f>IFERROR(__xludf.DUMMYFUNCTION("""COMPUTED_VALUE"""),"DRAYU")</f>
        <v>DRAYU</v>
      </c>
    </row>
    <row r="1157">
      <c r="A1157" s="1" t="str">
        <f>IFERROR(__xludf.DUMMYFUNCTION("""COMPUTED_VALUE"""),"DRIO")</f>
        <v>DRIO</v>
      </c>
    </row>
    <row r="1158">
      <c r="A1158" s="1" t="str">
        <f>IFERROR(__xludf.DUMMYFUNCTION("""COMPUTED_VALUE"""),"DRNA")</f>
        <v>DRNA</v>
      </c>
    </row>
    <row r="1159">
      <c r="A1159" s="1" t="str">
        <f>IFERROR(__xludf.DUMMYFUNCTION("""COMPUTED_VALUE"""),"DRRX")</f>
        <v>DRRX</v>
      </c>
    </row>
    <row r="1160">
      <c r="A1160" s="1" t="str">
        <f>IFERROR(__xludf.DUMMYFUNCTION("""COMPUTED_VALUE"""),"DRTT")</f>
        <v>DRTT</v>
      </c>
    </row>
    <row r="1161">
      <c r="A1161" s="1" t="str">
        <f>IFERROR(__xludf.DUMMYFUNCTION("""COMPUTED_VALUE"""),"DRVN")</f>
        <v>DRVN</v>
      </c>
    </row>
    <row r="1162">
      <c r="A1162" s="1" t="str">
        <f>IFERROR(__xludf.DUMMYFUNCTION("""COMPUTED_VALUE"""),"DSAC")</f>
        <v>DSAC</v>
      </c>
    </row>
    <row r="1163">
      <c r="A1163" s="1" t="str">
        <f>IFERROR(__xludf.DUMMYFUNCTION("""COMPUTED_VALUE"""),"DSACU")</f>
        <v>DSACU</v>
      </c>
    </row>
    <row r="1164">
      <c r="A1164" s="1" t="str">
        <f>IFERROR(__xludf.DUMMYFUNCTION("""COMPUTED_VALUE"""),"DSACW")</f>
        <v>DSACW</v>
      </c>
    </row>
    <row r="1165">
      <c r="A1165" s="1" t="str">
        <f>IFERROR(__xludf.DUMMYFUNCTION("""COMPUTED_VALUE"""),"DSEY")</f>
        <v>DSEY</v>
      </c>
    </row>
    <row r="1166">
      <c r="A1166" s="1" t="str">
        <f>IFERROR(__xludf.DUMMYFUNCTION("""COMPUTED_VALUE"""),"DSGN")</f>
        <v>DSGN</v>
      </c>
    </row>
    <row r="1167">
      <c r="A1167" s="1" t="str">
        <f>IFERROR(__xludf.DUMMYFUNCTION("""COMPUTED_VALUE"""),"DSGX")</f>
        <v>DSGX</v>
      </c>
    </row>
    <row r="1168">
      <c r="A1168" s="1" t="str">
        <f>IFERROR(__xludf.DUMMYFUNCTION("""COMPUTED_VALUE"""),"DSKE")</f>
        <v>DSKE</v>
      </c>
    </row>
    <row r="1169">
      <c r="A1169" s="1" t="str">
        <f>IFERROR(__xludf.DUMMYFUNCTION("""COMPUTED_VALUE"""),"DSKEW")</f>
        <v>DSKEW</v>
      </c>
    </row>
    <row r="1170">
      <c r="A1170" s="1" t="str">
        <f>IFERROR(__xludf.DUMMYFUNCTION("""COMPUTED_VALUE"""),"DSP")</f>
        <v>DSP</v>
      </c>
    </row>
    <row r="1171">
      <c r="A1171" s="1" t="str">
        <f>IFERROR(__xludf.DUMMYFUNCTION("""COMPUTED_VALUE"""),"DSPG")</f>
        <v>DSPG</v>
      </c>
    </row>
    <row r="1172">
      <c r="A1172" s="1" t="str">
        <f>IFERROR(__xludf.DUMMYFUNCTION("""COMPUTED_VALUE"""),"DSWL")</f>
        <v>DSWL</v>
      </c>
    </row>
    <row r="1173">
      <c r="A1173" s="1" t="str">
        <f>IFERROR(__xludf.DUMMYFUNCTION("""COMPUTED_VALUE"""),"DTEA")</f>
        <v>DTEA</v>
      </c>
    </row>
    <row r="1174">
      <c r="A1174" s="1" t="str">
        <f>IFERROR(__xludf.DUMMYFUNCTION("""COMPUTED_VALUE"""),"DTIL")</f>
        <v>DTIL</v>
      </c>
    </row>
    <row r="1175">
      <c r="A1175" s="1" t="str">
        <f>IFERROR(__xludf.DUMMYFUNCTION("""COMPUTED_VALUE"""),"DTOC")</f>
        <v>DTOC</v>
      </c>
    </row>
    <row r="1176">
      <c r="A1176" s="1" t="str">
        <f>IFERROR(__xludf.DUMMYFUNCTION("""COMPUTED_VALUE"""),"DTOCW")</f>
        <v>DTOCW</v>
      </c>
    </row>
    <row r="1177">
      <c r="A1177" s="1" t="str">
        <f>IFERROR(__xludf.DUMMYFUNCTION("""COMPUTED_VALUE"""),"DTSS")</f>
        <v>DTSS</v>
      </c>
    </row>
    <row r="1178">
      <c r="A1178" s="1" t="str">
        <f>IFERROR(__xludf.DUMMYFUNCTION("""COMPUTED_VALUE"""),"DTST")</f>
        <v>DTST</v>
      </c>
    </row>
    <row r="1179">
      <c r="A1179" s="1" t="str">
        <f>IFERROR(__xludf.DUMMYFUNCTION("""COMPUTED_VALUE"""),"DTSTW")</f>
        <v>DTSTW</v>
      </c>
    </row>
    <row r="1180">
      <c r="A1180" s="1" t="str">
        <f>IFERROR(__xludf.DUMMYFUNCTION("""COMPUTED_VALUE"""),"DUNE")</f>
        <v>DUNE</v>
      </c>
    </row>
    <row r="1181">
      <c r="A1181" s="1" t="str">
        <f>IFERROR(__xludf.DUMMYFUNCTION("""COMPUTED_VALUE"""),"DUNEU")</f>
        <v>DUNEU</v>
      </c>
    </row>
    <row r="1182">
      <c r="A1182" s="1" t="str">
        <f>IFERROR(__xludf.DUMMYFUNCTION("""COMPUTED_VALUE"""),"DUNEW")</f>
        <v>DUNEW</v>
      </c>
    </row>
    <row r="1183">
      <c r="A1183" s="1" t="str">
        <f>IFERROR(__xludf.DUMMYFUNCTION("""COMPUTED_VALUE"""),"DUO")</f>
        <v>DUO</v>
      </c>
    </row>
    <row r="1184">
      <c r="A1184" s="1" t="str">
        <f>IFERROR(__xludf.DUMMYFUNCTION("""COMPUTED_VALUE"""),"DUOL")</f>
        <v>DUOL</v>
      </c>
    </row>
    <row r="1185">
      <c r="A1185" s="1" t="str">
        <f>IFERROR(__xludf.DUMMYFUNCTION("""COMPUTED_VALUE"""),"DUOT")</f>
        <v>DUOT</v>
      </c>
    </row>
    <row r="1186">
      <c r="A1186" s="1" t="str">
        <f>IFERROR(__xludf.DUMMYFUNCTION("""COMPUTED_VALUE"""),"DVAX")</f>
        <v>DVAX</v>
      </c>
    </row>
    <row r="1187">
      <c r="A1187" s="1" t="str">
        <f>IFERROR(__xludf.DUMMYFUNCTION("""COMPUTED_VALUE"""),"DWSN")</f>
        <v>DWSN</v>
      </c>
    </row>
    <row r="1188">
      <c r="A1188" s="1" t="str">
        <f>IFERROR(__xludf.DUMMYFUNCTION("""COMPUTED_VALUE"""),"DXCM")</f>
        <v>DXCM</v>
      </c>
    </row>
    <row r="1189">
      <c r="A1189" s="1" t="str">
        <f>IFERROR(__xludf.DUMMYFUNCTION("""COMPUTED_VALUE"""),"DXPE")</f>
        <v>DXPE</v>
      </c>
    </row>
    <row r="1190">
      <c r="A1190" s="1" t="str">
        <f>IFERROR(__xludf.DUMMYFUNCTION("""COMPUTED_VALUE"""),"DXYN")</f>
        <v>DXYN</v>
      </c>
    </row>
    <row r="1191">
      <c r="A1191" s="1" t="str">
        <f>IFERROR(__xludf.DUMMYFUNCTION("""COMPUTED_VALUE"""),"DYAI")</f>
        <v>DYAI</v>
      </c>
    </row>
    <row r="1192">
      <c r="A1192" s="1" t="str">
        <f>IFERROR(__xludf.DUMMYFUNCTION("""COMPUTED_VALUE"""),"DYN")</f>
        <v>DYN</v>
      </c>
    </row>
    <row r="1193">
      <c r="A1193" s="1" t="str">
        <f>IFERROR(__xludf.DUMMYFUNCTION("""COMPUTED_VALUE"""),"DYNS")</f>
        <v>DYNS</v>
      </c>
    </row>
    <row r="1194">
      <c r="A1194" s="1" t="str">
        <f>IFERROR(__xludf.DUMMYFUNCTION("""COMPUTED_VALUE"""),"DYNT")</f>
        <v>DYNT</v>
      </c>
    </row>
    <row r="1195">
      <c r="A1195" s="1" t="str">
        <f>IFERROR(__xludf.DUMMYFUNCTION("""COMPUTED_VALUE"""),"DZSI")</f>
        <v>DZSI</v>
      </c>
    </row>
    <row r="1196">
      <c r="A1196" s="1" t="str">
        <f>IFERROR(__xludf.DUMMYFUNCTION("""COMPUTED_VALUE"""),"EA")</f>
        <v>EA</v>
      </c>
    </row>
    <row r="1197">
      <c r="A1197" s="1" t="str">
        <f>IFERROR(__xludf.DUMMYFUNCTION("""COMPUTED_VALUE"""),"EAC")</f>
        <v>EAC</v>
      </c>
    </row>
    <row r="1198">
      <c r="A1198" s="1" t="str">
        <f>IFERROR(__xludf.DUMMYFUNCTION("""COMPUTED_VALUE"""),"EACPU")</f>
        <v>EACPU</v>
      </c>
    </row>
    <row r="1199">
      <c r="A1199" s="1" t="str">
        <f>IFERROR(__xludf.DUMMYFUNCTION("""COMPUTED_VALUE"""),"EAR")</f>
        <v>EAR</v>
      </c>
    </row>
    <row r="1200">
      <c r="A1200" s="1" t="str">
        <f>IFERROR(__xludf.DUMMYFUNCTION("""COMPUTED_VALUE"""),"EAST")</f>
        <v>EAST</v>
      </c>
    </row>
    <row r="1201">
      <c r="A1201" s="1" t="str">
        <f>IFERROR(__xludf.DUMMYFUNCTION("""COMPUTED_VALUE"""),"EBAC")</f>
        <v>EBAC</v>
      </c>
    </row>
    <row r="1202">
      <c r="A1202" s="1" t="str">
        <f>IFERROR(__xludf.DUMMYFUNCTION("""COMPUTED_VALUE"""),"EBACU")</f>
        <v>EBACU</v>
      </c>
    </row>
    <row r="1203">
      <c r="A1203" s="1" t="str">
        <f>IFERROR(__xludf.DUMMYFUNCTION("""COMPUTED_VALUE"""),"EBACW")</f>
        <v>EBACW</v>
      </c>
    </row>
    <row r="1204">
      <c r="A1204" s="1" t="str">
        <f>IFERROR(__xludf.DUMMYFUNCTION("""COMPUTED_VALUE"""),"EBAY")</f>
        <v>EBAY</v>
      </c>
    </row>
    <row r="1205">
      <c r="A1205" s="1" t="str">
        <f>IFERROR(__xludf.DUMMYFUNCTION("""COMPUTED_VALUE"""),"EBC")</f>
        <v>EBC</v>
      </c>
    </row>
    <row r="1206">
      <c r="A1206" s="1" t="str">
        <f>IFERROR(__xludf.DUMMYFUNCTION("""COMPUTED_VALUE"""),"EBET")</f>
        <v>EBET</v>
      </c>
    </row>
    <row r="1207">
      <c r="A1207" s="1" t="str">
        <f>IFERROR(__xludf.DUMMYFUNCTION("""COMPUTED_VALUE"""),"EBIX")</f>
        <v>EBIX</v>
      </c>
    </row>
    <row r="1208">
      <c r="A1208" s="1" t="str">
        <f>IFERROR(__xludf.DUMMYFUNCTION("""COMPUTED_VALUE"""),"EBMT")</f>
        <v>EBMT</v>
      </c>
    </row>
    <row r="1209">
      <c r="A1209" s="1" t="str">
        <f>IFERROR(__xludf.DUMMYFUNCTION("""COMPUTED_VALUE"""),"EBON")</f>
        <v>EBON</v>
      </c>
    </row>
    <row r="1210">
      <c r="A1210" s="1" t="str">
        <f>IFERROR(__xludf.DUMMYFUNCTION("""COMPUTED_VALUE"""),"EBSB")</f>
        <v>EBSB</v>
      </c>
    </row>
    <row r="1211">
      <c r="A1211" s="1" t="str">
        <f>IFERROR(__xludf.DUMMYFUNCTION("""COMPUTED_VALUE"""),"EBTC")</f>
        <v>EBTC</v>
      </c>
    </row>
    <row r="1212">
      <c r="A1212" s="1" t="str">
        <f>IFERROR(__xludf.DUMMYFUNCTION("""COMPUTED_VALUE"""),"ECHO")</f>
        <v>ECHO</v>
      </c>
    </row>
    <row r="1213">
      <c r="A1213" s="1" t="str">
        <f>IFERROR(__xludf.DUMMYFUNCTION("""COMPUTED_VALUE"""),"ECOL")</f>
        <v>ECOL</v>
      </c>
    </row>
    <row r="1214">
      <c r="A1214" s="1" t="str">
        <f>IFERROR(__xludf.DUMMYFUNCTION("""COMPUTED_VALUE"""),"ECOR")</f>
        <v>ECOR</v>
      </c>
    </row>
    <row r="1215">
      <c r="A1215" s="1" t="str">
        <f>IFERROR(__xludf.DUMMYFUNCTION("""COMPUTED_VALUE"""),"ECPG")</f>
        <v>ECPG</v>
      </c>
    </row>
    <row r="1216">
      <c r="A1216" s="1" t="str">
        <f>IFERROR(__xludf.DUMMYFUNCTION("""COMPUTED_VALUE"""),"EDAP")</f>
        <v>EDAP</v>
      </c>
    </row>
    <row r="1217">
      <c r="A1217" s="1" t="str">
        <f>IFERROR(__xludf.DUMMYFUNCTION("""COMPUTED_VALUE"""),"EDIT")</f>
        <v>EDIT</v>
      </c>
    </row>
    <row r="1218">
      <c r="A1218" s="1" t="str">
        <f>IFERROR(__xludf.DUMMYFUNCTION("""COMPUTED_VALUE"""),"EDRY")</f>
        <v>EDRY</v>
      </c>
    </row>
    <row r="1219">
      <c r="A1219" s="1" t="str">
        <f>IFERROR(__xludf.DUMMYFUNCTION("""COMPUTED_VALUE"""),"EDSA")</f>
        <v>EDSA</v>
      </c>
    </row>
    <row r="1220">
      <c r="A1220" s="1" t="str">
        <f>IFERROR(__xludf.DUMMYFUNCTION("""COMPUTED_VALUE"""),"EDTK")</f>
        <v>EDTK</v>
      </c>
    </row>
    <row r="1221">
      <c r="A1221" s="1" t="str">
        <f>IFERROR(__xludf.DUMMYFUNCTION("""COMPUTED_VALUE"""),"EDTX")</f>
        <v>EDTX</v>
      </c>
    </row>
    <row r="1222">
      <c r="A1222" s="1" t="str">
        <f>IFERROR(__xludf.DUMMYFUNCTION("""COMPUTED_VALUE"""),"EDTXW")</f>
        <v>EDTXW</v>
      </c>
    </row>
    <row r="1223">
      <c r="A1223" s="1" t="str">
        <f>IFERROR(__xludf.DUMMYFUNCTION("""COMPUTED_VALUE"""),"EDUC")</f>
        <v>EDUC</v>
      </c>
    </row>
    <row r="1224">
      <c r="A1224" s="1" t="str">
        <f>IFERROR(__xludf.DUMMYFUNCTION("""COMPUTED_VALUE"""),"EEFT")</f>
        <v>EEFT</v>
      </c>
    </row>
    <row r="1225">
      <c r="A1225" s="1" t="str">
        <f>IFERROR(__xludf.DUMMYFUNCTION("""COMPUTED_VALUE"""),"EEIQ")</f>
        <v>EEIQ</v>
      </c>
    </row>
    <row r="1226">
      <c r="A1226" s="1" t="str">
        <f>IFERROR(__xludf.DUMMYFUNCTION("""COMPUTED_VALUE"""),"EFOI")</f>
        <v>EFOI</v>
      </c>
    </row>
    <row r="1227">
      <c r="A1227" s="1" t="str">
        <f>IFERROR(__xludf.DUMMYFUNCTION("""COMPUTED_VALUE"""),"EFSC")</f>
        <v>EFSC</v>
      </c>
    </row>
    <row r="1228">
      <c r="A1228" s="1" t="str">
        <f>IFERROR(__xludf.DUMMYFUNCTION("""COMPUTED_VALUE"""),"EGAN")</f>
        <v>EGAN</v>
      </c>
    </row>
    <row r="1229">
      <c r="A1229" s="1" t="str">
        <f>IFERROR(__xludf.DUMMYFUNCTION("""COMPUTED_VALUE"""),"EGBN")</f>
        <v>EGBN</v>
      </c>
    </row>
    <row r="1230">
      <c r="A1230" s="1" t="str">
        <f>IFERROR(__xludf.DUMMYFUNCTION("""COMPUTED_VALUE"""),"EGLE")</f>
        <v>EGLE</v>
      </c>
    </row>
    <row r="1231">
      <c r="A1231" s="1" t="str">
        <f>IFERROR(__xludf.DUMMYFUNCTION("""COMPUTED_VALUE"""),"EGLX")</f>
        <v>EGLX</v>
      </c>
    </row>
    <row r="1232">
      <c r="A1232" s="1" t="str">
        <f>IFERROR(__xludf.DUMMYFUNCTION("""COMPUTED_VALUE"""),"EGRX")</f>
        <v>EGRX</v>
      </c>
    </row>
    <row r="1233">
      <c r="A1233" s="1" t="str">
        <f>IFERROR(__xludf.DUMMYFUNCTION("""COMPUTED_VALUE"""),"EH")</f>
        <v>EH</v>
      </c>
    </row>
    <row r="1234">
      <c r="A1234" s="1" t="str">
        <f>IFERROR(__xludf.DUMMYFUNCTION("""COMPUTED_VALUE"""),"EHTH")</f>
        <v>EHTH</v>
      </c>
    </row>
    <row r="1235">
      <c r="A1235" s="1" t="str">
        <f>IFERROR(__xludf.DUMMYFUNCTION("""COMPUTED_VALUE"""),"EIGR")</f>
        <v>EIGR</v>
      </c>
    </row>
    <row r="1236">
      <c r="A1236" s="1" t="str">
        <f>IFERROR(__xludf.DUMMYFUNCTION("""COMPUTED_VALUE"""),"EJFA")</f>
        <v>EJFA</v>
      </c>
    </row>
    <row r="1237">
      <c r="A1237" s="1" t="str">
        <f>IFERROR(__xludf.DUMMYFUNCTION("""COMPUTED_VALUE"""),"EJFAU")</f>
        <v>EJFAU</v>
      </c>
    </row>
    <row r="1238">
      <c r="A1238" s="1" t="str">
        <f>IFERROR(__xludf.DUMMYFUNCTION("""COMPUTED_VALUE"""),"EJFAW")</f>
        <v>EJFAW</v>
      </c>
    </row>
    <row r="1239">
      <c r="A1239" s="1" t="str">
        <f>IFERROR(__xludf.DUMMYFUNCTION("""COMPUTED_VALUE"""),"EJH")</f>
        <v>EJH</v>
      </c>
    </row>
    <row r="1240">
      <c r="A1240" s="1" t="str">
        <f>IFERROR(__xludf.DUMMYFUNCTION("""COMPUTED_VALUE"""),"EKSO")</f>
        <v>EKSO</v>
      </c>
    </row>
    <row r="1241">
      <c r="A1241" s="1" t="str">
        <f>IFERROR(__xludf.DUMMYFUNCTION("""COMPUTED_VALUE"""),"ELDN")</f>
        <v>ELDN</v>
      </c>
    </row>
    <row r="1242">
      <c r="A1242" s="1" t="str">
        <f>IFERROR(__xludf.DUMMYFUNCTION("""COMPUTED_VALUE"""),"ELEV")</f>
        <v>ELEV</v>
      </c>
    </row>
    <row r="1243">
      <c r="A1243" s="1" t="str">
        <f>IFERROR(__xludf.DUMMYFUNCTION("""COMPUTED_VALUE"""),"ELMS")</f>
        <v>ELMS</v>
      </c>
    </row>
    <row r="1244">
      <c r="A1244" s="1" t="str">
        <f>IFERROR(__xludf.DUMMYFUNCTION("""COMPUTED_VALUE"""),"ELMSW")</f>
        <v>ELMSW</v>
      </c>
    </row>
    <row r="1245">
      <c r="A1245" s="1" t="str">
        <f>IFERROR(__xludf.DUMMYFUNCTION("""COMPUTED_VALUE"""),"ELOX")</f>
        <v>ELOX</v>
      </c>
    </row>
    <row r="1246">
      <c r="A1246" s="1" t="str">
        <f>IFERROR(__xludf.DUMMYFUNCTION("""COMPUTED_VALUE"""),"ELSE")</f>
        <v>ELSE</v>
      </c>
    </row>
    <row r="1247">
      <c r="A1247" s="1" t="str">
        <f>IFERROR(__xludf.DUMMYFUNCTION("""COMPUTED_VALUE"""),"ELTK")</f>
        <v>ELTK</v>
      </c>
    </row>
    <row r="1248">
      <c r="A1248" s="1" t="str">
        <f>IFERROR(__xludf.DUMMYFUNCTION("""COMPUTED_VALUE"""),"ELYS")</f>
        <v>ELYS</v>
      </c>
    </row>
    <row r="1249">
      <c r="A1249" s="1" t="str">
        <f>IFERROR(__xludf.DUMMYFUNCTION("""COMPUTED_VALUE"""),"EM")</f>
        <v>EM</v>
      </c>
    </row>
    <row r="1250">
      <c r="A1250" s="1" t="str">
        <f>IFERROR(__xludf.DUMMYFUNCTION("""COMPUTED_VALUE"""),"EMCF")</f>
        <v>EMCF</v>
      </c>
    </row>
    <row r="1251">
      <c r="A1251" s="1" t="str">
        <f>IFERROR(__xludf.DUMMYFUNCTION("""COMPUTED_VALUE"""),"EMKR")</f>
        <v>EMKR</v>
      </c>
    </row>
    <row r="1252">
      <c r="A1252" s="1" t="str">
        <f>IFERROR(__xludf.DUMMYFUNCTION("""COMPUTED_VALUE"""),"EML")</f>
        <v>EML</v>
      </c>
    </row>
    <row r="1253">
      <c r="A1253" s="1" t="str">
        <f>IFERROR(__xludf.DUMMYFUNCTION("""COMPUTED_VALUE"""),"ENDP")</f>
        <v>ENDP</v>
      </c>
    </row>
    <row r="1254">
      <c r="A1254" s="1" t="str">
        <f>IFERROR(__xludf.DUMMYFUNCTION("""COMPUTED_VALUE"""),"ENFA")</f>
        <v>ENFA</v>
      </c>
    </row>
    <row r="1255">
      <c r="A1255" s="1" t="str">
        <f>IFERROR(__xludf.DUMMYFUNCTION("""COMPUTED_VALUE"""),"ENFAU")</f>
        <v>ENFAU</v>
      </c>
    </row>
    <row r="1256">
      <c r="A1256" s="1" t="str">
        <f>IFERROR(__xludf.DUMMYFUNCTION("""COMPUTED_VALUE"""),"ENFAW")</f>
        <v>ENFAW</v>
      </c>
    </row>
    <row r="1257">
      <c r="A1257" s="1" t="str">
        <f>IFERROR(__xludf.DUMMYFUNCTION("""COMPUTED_VALUE"""),"ENG")</f>
        <v>ENG</v>
      </c>
    </row>
    <row r="1258">
      <c r="A1258" s="1" t="str">
        <f>IFERROR(__xludf.DUMMYFUNCTION("""COMPUTED_VALUE"""),"ENLV")</f>
        <v>ENLV</v>
      </c>
    </row>
    <row r="1259">
      <c r="A1259" s="1" t="str">
        <f>IFERROR(__xludf.DUMMYFUNCTION("""COMPUTED_VALUE"""),"ENNV")</f>
        <v>ENNV</v>
      </c>
    </row>
    <row r="1260">
      <c r="A1260" s="1" t="str">
        <f>IFERROR(__xludf.DUMMYFUNCTION("""COMPUTED_VALUE"""),"ENNVU")</f>
        <v>ENNVU</v>
      </c>
    </row>
    <row r="1261">
      <c r="A1261" s="1" t="str">
        <f>IFERROR(__xludf.DUMMYFUNCTION("""COMPUTED_VALUE"""),"ENNVW")</f>
        <v>ENNVW</v>
      </c>
    </row>
    <row r="1262">
      <c r="A1262" s="1" t="str">
        <f>IFERROR(__xludf.DUMMYFUNCTION("""COMPUTED_VALUE"""),"ENOB")</f>
        <v>ENOB</v>
      </c>
    </row>
    <row r="1263">
      <c r="A1263" s="1" t="str">
        <f>IFERROR(__xludf.DUMMYFUNCTION("""COMPUTED_VALUE"""),"ENPH")</f>
        <v>ENPH</v>
      </c>
    </row>
    <row r="1264">
      <c r="A1264" s="1" t="str">
        <f>IFERROR(__xludf.DUMMYFUNCTION("""COMPUTED_VALUE"""),"ENSC")</f>
        <v>ENSC</v>
      </c>
    </row>
    <row r="1265">
      <c r="A1265" s="1" t="str">
        <f>IFERROR(__xludf.DUMMYFUNCTION("""COMPUTED_VALUE"""),"ENSG")</f>
        <v>ENSG</v>
      </c>
    </row>
    <row r="1266">
      <c r="A1266" s="1" t="str">
        <f>IFERROR(__xludf.DUMMYFUNCTION("""COMPUTED_VALUE"""),"ENTA")</f>
        <v>ENTA</v>
      </c>
    </row>
    <row r="1267">
      <c r="A1267" s="1" t="str">
        <f>IFERROR(__xludf.DUMMYFUNCTION("""COMPUTED_VALUE"""),"ENTG")</f>
        <v>ENTG</v>
      </c>
    </row>
    <row r="1268">
      <c r="A1268" s="1" t="str">
        <f>IFERROR(__xludf.DUMMYFUNCTION("""COMPUTED_VALUE"""),"ENTX")</f>
        <v>ENTX</v>
      </c>
    </row>
    <row r="1269">
      <c r="A1269" s="1" t="str">
        <f>IFERROR(__xludf.DUMMYFUNCTION("""COMPUTED_VALUE"""),"ENTXW")</f>
        <v>ENTXW</v>
      </c>
    </row>
    <row r="1270">
      <c r="A1270" s="1" t="str">
        <f>IFERROR(__xludf.DUMMYFUNCTION("""COMPUTED_VALUE"""),"ENVB")</f>
        <v>ENVB</v>
      </c>
    </row>
    <row r="1271">
      <c r="A1271" s="1" t="str">
        <f>IFERROR(__xludf.DUMMYFUNCTION("""COMPUTED_VALUE"""),"ENVI")</f>
        <v>ENVI</v>
      </c>
    </row>
    <row r="1272">
      <c r="A1272" s="1" t="str">
        <f>IFERROR(__xludf.DUMMYFUNCTION("""COMPUTED_VALUE"""),"ENVIU")</f>
        <v>ENVIU</v>
      </c>
    </row>
    <row r="1273">
      <c r="A1273" s="1" t="str">
        <f>IFERROR(__xludf.DUMMYFUNCTION("""COMPUTED_VALUE"""),"ENVIW")</f>
        <v>ENVIW</v>
      </c>
    </row>
    <row r="1274">
      <c r="A1274" s="1" t="str">
        <f>IFERROR(__xludf.DUMMYFUNCTION("""COMPUTED_VALUE"""),"ENVX")</f>
        <v>ENVX</v>
      </c>
    </row>
    <row r="1275">
      <c r="A1275" s="1" t="str">
        <f>IFERROR(__xludf.DUMMYFUNCTION("""COMPUTED_VALUE"""),"ENVXW")</f>
        <v>ENVXW</v>
      </c>
    </row>
    <row r="1276">
      <c r="A1276" s="1" t="str">
        <f>IFERROR(__xludf.DUMMYFUNCTION("""COMPUTED_VALUE"""),"EOLS")</f>
        <v>EOLS</v>
      </c>
    </row>
    <row r="1277">
      <c r="A1277" s="1" t="str">
        <f>IFERROR(__xludf.DUMMYFUNCTION("""COMPUTED_VALUE"""),"EOSE")</f>
        <v>EOSE</v>
      </c>
    </row>
    <row r="1278">
      <c r="A1278" s="1" t="str">
        <f>IFERROR(__xludf.DUMMYFUNCTION("""COMPUTED_VALUE"""),"EOSEW")</f>
        <v>EOSEW</v>
      </c>
    </row>
    <row r="1279">
      <c r="A1279" s="1" t="str">
        <f>IFERROR(__xludf.DUMMYFUNCTION("""COMPUTED_VALUE"""),"EPAY")</f>
        <v>EPAY</v>
      </c>
    </row>
    <row r="1280">
      <c r="A1280" s="1" t="str">
        <f>IFERROR(__xludf.DUMMYFUNCTION("""COMPUTED_VALUE"""),"EPHY")</f>
        <v>EPHY</v>
      </c>
    </row>
    <row r="1281">
      <c r="A1281" s="1" t="str">
        <f>IFERROR(__xludf.DUMMYFUNCTION("""COMPUTED_VALUE"""),"EPHYU")</f>
        <v>EPHYU</v>
      </c>
    </row>
    <row r="1282">
      <c r="A1282" s="1" t="str">
        <f>IFERROR(__xludf.DUMMYFUNCTION("""COMPUTED_VALUE"""),"EPHYW")</f>
        <v>EPHYW</v>
      </c>
    </row>
    <row r="1283">
      <c r="A1283" s="1" t="str">
        <f>IFERROR(__xludf.DUMMYFUNCTION("""COMPUTED_VALUE"""),"EPIX")</f>
        <v>EPIX</v>
      </c>
    </row>
    <row r="1284">
      <c r="A1284" s="1" t="str">
        <f>IFERROR(__xludf.DUMMYFUNCTION("""COMPUTED_VALUE"""),"EPSN")</f>
        <v>EPSN</v>
      </c>
    </row>
    <row r="1285">
      <c r="A1285" s="1" t="str">
        <f>IFERROR(__xludf.DUMMYFUNCTION("""COMPUTED_VALUE"""),"EPZM")</f>
        <v>EPZM</v>
      </c>
    </row>
    <row r="1286">
      <c r="A1286" s="1" t="str">
        <f>IFERROR(__xludf.DUMMYFUNCTION("""COMPUTED_VALUE"""),"EQ")</f>
        <v>EQ</v>
      </c>
    </row>
    <row r="1287">
      <c r="A1287" s="1" t="str">
        <f>IFERROR(__xludf.DUMMYFUNCTION("""COMPUTED_VALUE"""),"EQBK")</f>
        <v>EQBK</v>
      </c>
    </row>
    <row r="1288">
      <c r="A1288" s="1" t="str">
        <f>IFERROR(__xludf.DUMMYFUNCTION("""COMPUTED_VALUE"""),"EQIX")</f>
        <v>EQIX</v>
      </c>
    </row>
    <row r="1289">
      <c r="A1289" s="1" t="str">
        <f>IFERROR(__xludf.DUMMYFUNCTION("""COMPUTED_VALUE"""),"EQOS")</f>
        <v>EQOS</v>
      </c>
    </row>
    <row r="1290">
      <c r="A1290" s="1" t="str">
        <f>IFERROR(__xludf.DUMMYFUNCTION("""COMPUTED_VALUE"""),"ERAS")</f>
        <v>ERAS</v>
      </c>
    </row>
    <row r="1291">
      <c r="A1291" s="1" t="str">
        <f>IFERROR(__xludf.DUMMYFUNCTION("""COMPUTED_VALUE"""),"ERES")</f>
        <v>ERES</v>
      </c>
    </row>
    <row r="1292">
      <c r="A1292" s="1" t="str">
        <f>IFERROR(__xludf.DUMMYFUNCTION("""COMPUTED_VALUE"""),"ERESU")</f>
        <v>ERESU</v>
      </c>
    </row>
    <row r="1293">
      <c r="A1293" s="1" t="str">
        <f>IFERROR(__xludf.DUMMYFUNCTION("""COMPUTED_VALUE"""),"ERESW")</f>
        <v>ERESW</v>
      </c>
    </row>
    <row r="1294">
      <c r="A1294" s="1" t="str">
        <f>IFERROR(__xludf.DUMMYFUNCTION("""COMPUTED_VALUE"""),"ERIC")</f>
        <v>ERIC</v>
      </c>
    </row>
    <row r="1295">
      <c r="A1295" s="1" t="str">
        <f>IFERROR(__xludf.DUMMYFUNCTION("""COMPUTED_VALUE"""),"ERIE")</f>
        <v>ERIE</v>
      </c>
    </row>
    <row r="1296">
      <c r="A1296" s="1" t="str">
        <f>IFERROR(__xludf.DUMMYFUNCTION("""COMPUTED_VALUE"""),"ERII")</f>
        <v>ERII</v>
      </c>
    </row>
    <row r="1297">
      <c r="A1297" s="1" t="str">
        <f>IFERROR(__xludf.DUMMYFUNCTION("""COMPUTED_VALUE"""),"ERYP")</f>
        <v>ERYP</v>
      </c>
    </row>
    <row r="1298">
      <c r="A1298" s="1" t="str">
        <f>IFERROR(__xludf.DUMMYFUNCTION("""COMPUTED_VALUE"""),"ESBK")</f>
        <v>ESBK</v>
      </c>
    </row>
    <row r="1299">
      <c r="A1299" s="1" t="str">
        <f>IFERROR(__xludf.DUMMYFUNCTION("""COMPUTED_VALUE"""),"ESCA")</f>
        <v>ESCA</v>
      </c>
    </row>
    <row r="1300">
      <c r="A1300" s="1" t="str">
        <f>IFERROR(__xludf.DUMMYFUNCTION("""COMPUTED_VALUE"""),"ESEA")</f>
        <v>ESEA</v>
      </c>
    </row>
    <row r="1301">
      <c r="A1301" s="1" t="str">
        <f>IFERROR(__xludf.DUMMYFUNCTION("""COMPUTED_VALUE"""),"ESGR")</f>
        <v>ESGR</v>
      </c>
    </row>
    <row r="1302">
      <c r="A1302" s="1" t="str">
        <f>IFERROR(__xludf.DUMMYFUNCTION("""COMPUTED_VALUE"""),"ESGRO")</f>
        <v>ESGRO</v>
      </c>
    </row>
    <row r="1303">
      <c r="A1303" s="1" t="str">
        <f>IFERROR(__xludf.DUMMYFUNCTION("""COMPUTED_VALUE"""),"ESGRP")</f>
        <v>ESGRP</v>
      </c>
    </row>
    <row r="1304">
      <c r="A1304" s="1" t="str">
        <f>IFERROR(__xludf.DUMMYFUNCTION("""COMPUTED_VALUE"""),"ESLT")</f>
        <v>ESLT</v>
      </c>
    </row>
    <row r="1305">
      <c r="A1305" s="1" t="str">
        <f>IFERROR(__xludf.DUMMYFUNCTION("""COMPUTED_VALUE"""),"ESPR")</f>
        <v>ESPR</v>
      </c>
    </row>
    <row r="1306">
      <c r="A1306" s="1" t="str">
        <f>IFERROR(__xludf.DUMMYFUNCTION("""COMPUTED_VALUE"""),"ESQ")</f>
        <v>ESQ</v>
      </c>
    </row>
    <row r="1307">
      <c r="A1307" s="1" t="str">
        <f>IFERROR(__xludf.DUMMYFUNCTION("""COMPUTED_VALUE"""),"ESSA")</f>
        <v>ESSA</v>
      </c>
    </row>
    <row r="1308">
      <c r="A1308" s="1" t="str">
        <f>IFERROR(__xludf.DUMMYFUNCTION("""COMPUTED_VALUE"""),"ESSC")</f>
        <v>ESSC</v>
      </c>
    </row>
    <row r="1309">
      <c r="A1309" s="1" t="str">
        <f>IFERROR(__xludf.DUMMYFUNCTION("""COMPUTED_VALUE"""),"ESSCR")</f>
        <v>ESSCR</v>
      </c>
    </row>
    <row r="1310">
      <c r="A1310" s="1" t="str">
        <f>IFERROR(__xludf.DUMMYFUNCTION("""COMPUTED_VALUE"""),"ESSCW")</f>
        <v>ESSCW</v>
      </c>
    </row>
    <row r="1311">
      <c r="A1311" s="1" t="str">
        <f>IFERROR(__xludf.DUMMYFUNCTION("""COMPUTED_VALUE"""),"ESTA")</f>
        <v>ESTA</v>
      </c>
    </row>
    <row r="1312">
      <c r="A1312" s="1" t="str">
        <f>IFERROR(__xludf.DUMMYFUNCTION("""COMPUTED_VALUE"""),"ESXB")</f>
        <v>ESXB</v>
      </c>
    </row>
    <row r="1313">
      <c r="A1313" s="1" t="str">
        <f>IFERROR(__xludf.DUMMYFUNCTION("""COMPUTED_VALUE"""),"ETAC")</f>
        <v>ETAC</v>
      </c>
    </row>
    <row r="1314">
      <c r="A1314" s="1" t="str">
        <f>IFERROR(__xludf.DUMMYFUNCTION("""COMPUTED_VALUE"""),"ETACU")</f>
        <v>ETACU</v>
      </c>
    </row>
    <row r="1315">
      <c r="A1315" s="1" t="str">
        <f>IFERROR(__xludf.DUMMYFUNCTION("""COMPUTED_VALUE"""),"ETACW")</f>
        <v>ETACW</v>
      </c>
    </row>
    <row r="1316">
      <c r="A1316" s="1" t="str">
        <f>IFERROR(__xludf.DUMMYFUNCTION("""COMPUTED_VALUE"""),"ETNB")</f>
        <v>ETNB</v>
      </c>
    </row>
    <row r="1317">
      <c r="A1317" s="1" t="str">
        <f>IFERROR(__xludf.DUMMYFUNCTION("""COMPUTED_VALUE"""),"ETON")</f>
        <v>ETON</v>
      </c>
    </row>
    <row r="1318">
      <c r="A1318" s="1" t="str">
        <f>IFERROR(__xludf.DUMMYFUNCTION("""COMPUTED_VALUE"""),"ETSY")</f>
        <v>ETSY</v>
      </c>
    </row>
    <row r="1319">
      <c r="A1319" s="1" t="str">
        <f>IFERROR(__xludf.DUMMYFUNCTION("""COMPUTED_VALUE"""),"ETTX")</f>
        <v>ETTX</v>
      </c>
    </row>
    <row r="1320">
      <c r="A1320" s="1" t="str">
        <f>IFERROR(__xludf.DUMMYFUNCTION("""COMPUTED_VALUE"""),"EUCR")</f>
        <v>EUCR</v>
      </c>
    </row>
    <row r="1321">
      <c r="A1321" s="1" t="str">
        <f>IFERROR(__xludf.DUMMYFUNCTION("""COMPUTED_VALUE"""),"EUSG")</f>
        <v>EUSG</v>
      </c>
    </row>
    <row r="1322">
      <c r="A1322" s="1" t="str">
        <f>IFERROR(__xludf.DUMMYFUNCTION("""COMPUTED_VALUE"""),"EUSGU")</f>
        <v>EUSGU</v>
      </c>
    </row>
    <row r="1323">
      <c r="A1323" s="1" t="str">
        <f>IFERROR(__xludf.DUMMYFUNCTION("""COMPUTED_VALUE"""),"EUSGW")</f>
        <v>EUSGW</v>
      </c>
    </row>
    <row r="1324">
      <c r="A1324" s="1" t="str">
        <f>IFERROR(__xludf.DUMMYFUNCTION("""COMPUTED_VALUE"""),"EVAX")</f>
        <v>EVAX</v>
      </c>
    </row>
    <row r="1325">
      <c r="A1325" s="1" t="str">
        <f>IFERROR(__xludf.DUMMYFUNCTION("""COMPUTED_VALUE"""),"EVBG")</f>
        <v>EVBG</v>
      </c>
    </row>
    <row r="1326">
      <c r="A1326" s="1" t="str">
        <f>IFERROR(__xludf.DUMMYFUNCTION("""COMPUTED_VALUE"""),"EVCM")</f>
        <v>EVCM</v>
      </c>
    </row>
    <row r="1327">
      <c r="A1327" s="1" t="str">
        <f>IFERROR(__xludf.DUMMYFUNCTION("""COMPUTED_VALUE"""),"EVER")</f>
        <v>EVER</v>
      </c>
    </row>
    <row r="1328">
      <c r="A1328" s="1" t="str">
        <f>IFERROR(__xludf.DUMMYFUNCTION("""COMPUTED_VALUE"""),"EVFM")</f>
        <v>EVFM</v>
      </c>
    </row>
    <row r="1329">
      <c r="A1329" s="1" t="str">
        <f>IFERROR(__xludf.DUMMYFUNCTION("""COMPUTED_VALUE"""),"EVGN")</f>
        <v>EVGN</v>
      </c>
    </row>
    <row r="1330">
      <c r="A1330" s="1" t="str">
        <f>IFERROR(__xludf.DUMMYFUNCTION("""COMPUTED_VALUE"""),"EVGO")</f>
        <v>EVGO</v>
      </c>
    </row>
    <row r="1331">
      <c r="A1331" s="1" t="str">
        <f>IFERROR(__xludf.DUMMYFUNCTION("""COMPUTED_VALUE"""),"EVGOW")</f>
        <v>EVGOW</v>
      </c>
    </row>
    <row r="1332">
      <c r="A1332" s="1" t="str">
        <f>IFERROR(__xludf.DUMMYFUNCTION("""COMPUTED_VALUE"""),"EVK")</f>
        <v>EVK</v>
      </c>
    </row>
    <row r="1333">
      <c r="A1333" s="1" t="str">
        <f>IFERROR(__xludf.DUMMYFUNCTION("""COMPUTED_VALUE"""),"EVLO")</f>
        <v>EVLO</v>
      </c>
    </row>
    <row r="1334">
      <c r="A1334" s="1" t="str">
        <f>IFERROR(__xludf.DUMMYFUNCTION("""COMPUTED_VALUE"""),"EVLV")</f>
        <v>EVLV</v>
      </c>
    </row>
    <row r="1335">
      <c r="A1335" s="1" t="str">
        <f>IFERROR(__xludf.DUMMYFUNCTION("""COMPUTED_VALUE"""),"EVLVU")</f>
        <v>EVLVU</v>
      </c>
    </row>
    <row r="1336">
      <c r="A1336" s="1" t="str">
        <f>IFERROR(__xludf.DUMMYFUNCTION("""COMPUTED_VALUE"""),"EVLVW")</f>
        <v>EVLVW</v>
      </c>
    </row>
    <row r="1337">
      <c r="A1337" s="1" t="str">
        <f>IFERROR(__xludf.DUMMYFUNCTION("""COMPUTED_VALUE"""),"EVOJU")</f>
        <v>EVOJU</v>
      </c>
    </row>
    <row r="1338">
      <c r="A1338" s="1" t="str">
        <f>IFERROR(__xludf.DUMMYFUNCTION("""COMPUTED_VALUE"""),"EVOJW")</f>
        <v>EVOJW</v>
      </c>
    </row>
    <row r="1339">
      <c r="A1339" s="1" t="str">
        <f>IFERROR(__xludf.DUMMYFUNCTION("""COMPUTED_VALUE"""),"EVOK")</f>
        <v>EVOK</v>
      </c>
    </row>
    <row r="1340">
      <c r="A1340" s="1" t="str">
        <f>IFERROR(__xludf.DUMMYFUNCTION("""COMPUTED_VALUE"""),"EVOL")</f>
        <v>EVOL</v>
      </c>
    </row>
    <row r="1341">
      <c r="A1341" s="1" t="str">
        <f>IFERROR(__xludf.DUMMYFUNCTION("""COMPUTED_VALUE"""),"EVOP")</f>
        <v>EVOP</v>
      </c>
    </row>
    <row r="1342">
      <c r="A1342" s="1" t="str">
        <f>IFERROR(__xludf.DUMMYFUNCTION("""COMPUTED_VALUE"""),"EWBC")</f>
        <v>EWBC</v>
      </c>
    </row>
    <row r="1343">
      <c r="A1343" s="1" t="str">
        <f>IFERROR(__xludf.DUMMYFUNCTION("""COMPUTED_VALUE"""),"EWCZ")</f>
        <v>EWCZ</v>
      </c>
    </row>
    <row r="1344">
      <c r="A1344" s="1" t="str">
        <f>IFERROR(__xludf.DUMMYFUNCTION("""COMPUTED_VALUE"""),"EWTX")</f>
        <v>EWTX</v>
      </c>
    </row>
    <row r="1345">
      <c r="A1345" s="1" t="str">
        <f>IFERROR(__xludf.DUMMYFUNCTION("""COMPUTED_VALUE"""),"EXAS")</f>
        <v>EXAS</v>
      </c>
    </row>
    <row r="1346">
      <c r="A1346" s="1" t="str">
        <f>IFERROR(__xludf.DUMMYFUNCTION("""COMPUTED_VALUE"""),"EXC")</f>
        <v>EXC</v>
      </c>
    </row>
    <row r="1347">
      <c r="A1347" s="1" t="str">
        <f>IFERROR(__xludf.DUMMYFUNCTION("""COMPUTED_VALUE"""),"EXEL")</f>
        <v>EXEL</v>
      </c>
    </row>
    <row r="1348">
      <c r="A1348" s="1" t="str">
        <f>IFERROR(__xludf.DUMMYFUNCTION("""COMPUTED_VALUE"""),"EXFO")</f>
        <v>EXFO</v>
      </c>
    </row>
    <row r="1349">
      <c r="A1349" s="1" t="str">
        <f>IFERROR(__xludf.DUMMYFUNCTION("""COMPUTED_VALUE"""),"EXLS")</f>
        <v>EXLS</v>
      </c>
    </row>
    <row r="1350">
      <c r="A1350" s="1" t="str">
        <f>IFERROR(__xludf.DUMMYFUNCTION("""COMPUTED_VALUE"""),"EXPD")</f>
        <v>EXPD</v>
      </c>
    </row>
    <row r="1351">
      <c r="A1351" s="1" t="str">
        <f>IFERROR(__xludf.DUMMYFUNCTION("""COMPUTED_VALUE"""),"EXPE")</f>
        <v>EXPE</v>
      </c>
    </row>
    <row r="1352">
      <c r="A1352" s="1" t="str">
        <f>IFERROR(__xludf.DUMMYFUNCTION("""COMPUTED_VALUE"""),"EXPI")</f>
        <v>EXPI</v>
      </c>
    </row>
    <row r="1353">
      <c r="A1353" s="1" t="str">
        <f>IFERROR(__xludf.DUMMYFUNCTION("""COMPUTED_VALUE"""),"EXPO")</f>
        <v>EXPO</v>
      </c>
    </row>
    <row r="1354">
      <c r="A1354" s="1" t="str">
        <f>IFERROR(__xludf.DUMMYFUNCTION("""COMPUTED_VALUE"""),"EXTR")</f>
        <v>EXTR</v>
      </c>
    </row>
    <row r="1355">
      <c r="A1355" s="1" t="str">
        <f>IFERROR(__xludf.DUMMYFUNCTION("""COMPUTED_VALUE"""),"EYE")</f>
        <v>EYE</v>
      </c>
    </row>
    <row r="1356">
      <c r="A1356" s="1" t="str">
        <f>IFERROR(__xludf.DUMMYFUNCTION("""COMPUTED_VALUE"""),"EYEG")</f>
        <v>EYEG</v>
      </c>
    </row>
    <row r="1357">
      <c r="A1357" s="1" t="str">
        <f>IFERROR(__xludf.DUMMYFUNCTION("""COMPUTED_VALUE"""),"EYEN")</f>
        <v>EYEN</v>
      </c>
    </row>
    <row r="1358">
      <c r="A1358" s="1" t="str">
        <f>IFERROR(__xludf.DUMMYFUNCTION("""COMPUTED_VALUE"""),"EYES")</f>
        <v>EYES</v>
      </c>
    </row>
    <row r="1359">
      <c r="A1359" s="1" t="str">
        <f>IFERROR(__xludf.DUMMYFUNCTION("""COMPUTED_VALUE"""),"EYESW")</f>
        <v>EYESW</v>
      </c>
    </row>
    <row r="1360">
      <c r="A1360" s="1" t="str">
        <f>IFERROR(__xludf.DUMMYFUNCTION("""COMPUTED_VALUE"""),"EYPT")</f>
        <v>EYPT</v>
      </c>
    </row>
    <row r="1361">
      <c r="A1361" s="1" t="str">
        <f>IFERROR(__xludf.DUMMYFUNCTION("""COMPUTED_VALUE"""),"EZGO")</f>
        <v>EZGO</v>
      </c>
    </row>
    <row r="1362">
      <c r="A1362" s="1" t="str">
        <f>IFERROR(__xludf.DUMMYFUNCTION("""COMPUTED_VALUE"""),"EZPW")</f>
        <v>EZPW</v>
      </c>
    </row>
    <row r="1363">
      <c r="A1363" s="1" t="str">
        <f>IFERROR(__xludf.DUMMYFUNCTION("""COMPUTED_VALUE"""),"FA")</f>
        <v>FA</v>
      </c>
    </row>
    <row r="1364">
      <c r="A1364" s="1" t="str">
        <f>IFERROR(__xludf.DUMMYFUNCTION("""COMPUTED_VALUE"""),"FAMI")</f>
        <v>FAMI</v>
      </c>
    </row>
    <row r="1365">
      <c r="A1365" s="1" t="str">
        <f>IFERROR(__xludf.DUMMYFUNCTION("""COMPUTED_VALUE"""),"FANG")</f>
        <v>FANG</v>
      </c>
    </row>
    <row r="1366">
      <c r="A1366" s="1" t="str">
        <f>IFERROR(__xludf.DUMMYFUNCTION("""COMPUTED_VALUE"""),"FANH")</f>
        <v>FANH</v>
      </c>
    </row>
    <row r="1367">
      <c r="A1367" s="1" t="str">
        <f>IFERROR(__xludf.DUMMYFUNCTION("""COMPUTED_VALUE"""),"FARM")</f>
        <v>FARM</v>
      </c>
    </row>
    <row r="1368">
      <c r="A1368" s="1" t="str">
        <f>IFERROR(__xludf.DUMMYFUNCTION("""COMPUTED_VALUE"""),"FARO")</f>
        <v>FARO</v>
      </c>
    </row>
    <row r="1369">
      <c r="A1369" s="1" t="str">
        <f>IFERROR(__xludf.DUMMYFUNCTION("""COMPUTED_VALUE"""),"FAST")</f>
        <v>FAST</v>
      </c>
    </row>
    <row r="1370">
      <c r="A1370" s="1" t="str">
        <f>IFERROR(__xludf.DUMMYFUNCTION("""COMPUTED_VALUE"""),"FAT")</f>
        <v>FAT</v>
      </c>
    </row>
    <row r="1371">
      <c r="A1371" s="1" t="str">
        <f>IFERROR(__xludf.DUMMYFUNCTION("""COMPUTED_VALUE"""),"FATBP")</f>
        <v>FATBP</v>
      </c>
    </row>
    <row r="1372">
      <c r="A1372" s="1" t="str">
        <f>IFERROR(__xludf.DUMMYFUNCTION("""COMPUTED_VALUE"""),"FATBW")</f>
        <v>FATBW</v>
      </c>
    </row>
    <row r="1373">
      <c r="A1373" s="1" t="str">
        <f>IFERROR(__xludf.DUMMYFUNCTION("""COMPUTED_VALUE"""),"FATE")</f>
        <v>FATE</v>
      </c>
    </row>
    <row r="1374">
      <c r="A1374" s="1" t="str">
        <f>IFERROR(__xludf.DUMMYFUNCTION("""COMPUTED_VALUE"""),"FB")</f>
        <v>FB</v>
      </c>
    </row>
    <row r="1375">
      <c r="A1375" s="1" t="str">
        <f>IFERROR(__xludf.DUMMYFUNCTION("""COMPUTED_VALUE"""),"FBIO")</f>
        <v>FBIO</v>
      </c>
    </row>
    <row r="1376">
      <c r="A1376" s="1" t="str">
        <f>IFERROR(__xludf.DUMMYFUNCTION("""COMPUTED_VALUE"""),"FBIOP")</f>
        <v>FBIOP</v>
      </c>
    </row>
    <row r="1377">
      <c r="A1377" s="1" t="str">
        <f>IFERROR(__xludf.DUMMYFUNCTION("""COMPUTED_VALUE"""),"FBIZ")</f>
        <v>FBIZ</v>
      </c>
    </row>
    <row r="1378">
      <c r="A1378" s="1" t="str">
        <f>IFERROR(__xludf.DUMMYFUNCTION("""COMPUTED_VALUE"""),"FBMS")</f>
        <v>FBMS</v>
      </c>
    </row>
    <row r="1379">
      <c r="A1379" s="1" t="str">
        <f>IFERROR(__xludf.DUMMYFUNCTION("""COMPUTED_VALUE"""),"FBNC")</f>
        <v>FBNC</v>
      </c>
    </row>
    <row r="1380">
      <c r="A1380" s="1" t="str">
        <f>IFERROR(__xludf.DUMMYFUNCTION("""COMPUTED_VALUE"""),"FBRX")</f>
        <v>FBRX</v>
      </c>
    </row>
    <row r="1381">
      <c r="A1381" s="1" t="str">
        <f>IFERROR(__xludf.DUMMYFUNCTION("""COMPUTED_VALUE"""),"FCAP")</f>
        <v>FCAP</v>
      </c>
    </row>
    <row r="1382">
      <c r="A1382" s="1" t="str">
        <f>IFERROR(__xludf.DUMMYFUNCTION("""COMPUTED_VALUE"""),"FCBC")</f>
        <v>FCBC</v>
      </c>
    </row>
    <row r="1383">
      <c r="A1383" s="1" t="str">
        <f>IFERROR(__xludf.DUMMYFUNCTION("""COMPUTED_VALUE"""),"FCCO")</f>
        <v>FCCO</v>
      </c>
    </row>
    <row r="1384">
      <c r="A1384" s="1" t="str">
        <f>IFERROR(__xludf.DUMMYFUNCTION("""COMPUTED_VALUE"""),"FCCY")</f>
        <v>FCCY</v>
      </c>
    </row>
    <row r="1385">
      <c r="A1385" s="1" t="str">
        <f>IFERROR(__xludf.DUMMYFUNCTION("""COMPUTED_VALUE"""),"FCEL")</f>
        <v>FCEL</v>
      </c>
    </row>
    <row r="1386">
      <c r="A1386" s="1" t="str">
        <f>IFERROR(__xludf.DUMMYFUNCTION("""COMPUTED_VALUE"""),"FCFS")</f>
        <v>FCFS</v>
      </c>
    </row>
    <row r="1387">
      <c r="A1387" s="1" t="str">
        <f>IFERROR(__xludf.DUMMYFUNCTION("""COMPUTED_VALUE"""),"FCNCA")</f>
        <v>FCNCA</v>
      </c>
    </row>
    <row r="1388">
      <c r="A1388" s="1" t="str">
        <f>IFERROR(__xludf.DUMMYFUNCTION("""COMPUTED_VALUE"""),"FCNCP")</f>
        <v>FCNCP</v>
      </c>
    </row>
    <row r="1389">
      <c r="A1389" s="1" t="str">
        <f>IFERROR(__xludf.DUMMYFUNCTION("""COMPUTED_VALUE"""),"FCRD")</f>
        <v>FCRD</v>
      </c>
    </row>
    <row r="1390">
      <c r="A1390" s="1" t="str">
        <f>IFERROR(__xludf.DUMMYFUNCTION("""COMPUTED_VALUE"""),"FDBC")</f>
        <v>FDBC</v>
      </c>
    </row>
    <row r="1391">
      <c r="A1391" s="1" t="str">
        <f>IFERROR(__xludf.DUMMYFUNCTION("""COMPUTED_VALUE"""),"FDMT")</f>
        <v>FDMT</v>
      </c>
    </row>
    <row r="1392">
      <c r="A1392" s="1" t="str">
        <f>IFERROR(__xludf.DUMMYFUNCTION("""COMPUTED_VALUE"""),"FDUS")</f>
        <v>FDUS</v>
      </c>
    </row>
    <row r="1393">
      <c r="A1393" s="1" t="str">
        <f>IFERROR(__xludf.DUMMYFUNCTION("""COMPUTED_VALUE"""),"FDUSG")</f>
        <v>FDUSG</v>
      </c>
    </row>
    <row r="1394">
      <c r="A1394" s="1" t="str">
        <f>IFERROR(__xludf.DUMMYFUNCTION("""COMPUTED_VALUE"""),"FDUSZ")</f>
        <v>FDUSZ</v>
      </c>
    </row>
    <row r="1395">
      <c r="A1395" s="1" t="str">
        <f>IFERROR(__xludf.DUMMYFUNCTION("""COMPUTED_VALUE"""),"FEIM")</f>
        <v>FEIM</v>
      </c>
    </row>
    <row r="1396">
      <c r="A1396" s="1" t="str">
        <f>IFERROR(__xludf.DUMMYFUNCTION("""COMPUTED_VALUE"""),"FELE")</f>
        <v>FELE</v>
      </c>
    </row>
    <row r="1397">
      <c r="A1397" s="1" t="str">
        <f>IFERROR(__xludf.DUMMYFUNCTION("""COMPUTED_VALUE"""),"FEMY")</f>
        <v>FEMY</v>
      </c>
    </row>
    <row r="1398">
      <c r="A1398" s="1" t="str">
        <f>IFERROR(__xludf.DUMMYFUNCTION("""COMPUTED_VALUE"""),"FENC")</f>
        <v>FENC</v>
      </c>
    </row>
    <row r="1399">
      <c r="A1399" s="1" t="str">
        <f>IFERROR(__xludf.DUMMYFUNCTION("""COMPUTED_VALUE"""),"FEYE")</f>
        <v>FEYE</v>
      </c>
    </row>
    <row r="1400">
      <c r="A1400" s="1" t="str">
        <f>IFERROR(__xludf.DUMMYFUNCTION("""COMPUTED_VALUE"""),"FFBC")</f>
        <v>FFBC</v>
      </c>
    </row>
    <row r="1401">
      <c r="A1401" s="1" t="str">
        <f>IFERROR(__xludf.DUMMYFUNCTION("""COMPUTED_VALUE"""),"FFBW")</f>
        <v>FFBW</v>
      </c>
    </row>
    <row r="1402">
      <c r="A1402" s="1" t="str">
        <f>IFERROR(__xludf.DUMMYFUNCTION("""COMPUTED_VALUE"""),"FFHL")</f>
        <v>FFHL</v>
      </c>
    </row>
    <row r="1403">
      <c r="A1403" s="1" t="str">
        <f>IFERROR(__xludf.DUMMYFUNCTION("""COMPUTED_VALUE"""),"FFIC")</f>
        <v>FFIC</v>
      </c>
    </row>
    <row r="1404">
      <c r="A1404" s="1" t="str">
        <f>IFERROR(__xludf.DUMMYFUNCTION("""COMPUTED_VALUE"""),"FFIE")</f>
        <v>FFIE</v>
      </c>
    </row>
    <row r="1405">
      <c r="A1405" s="1" t="str">
        <f>IFERROR(__xludf.DUMMYFUNCTION("""COMPUTED_VALUE"""),"FFIEW")</f>
        <v>FFIEW</v>
      </c>
    </row>
    <row r="1406">
      <c r="A1406" s="1" t="str">
        <f>IFERROR(__xludf.DUMMYFUNCTION("""COMPUTED_VALUE"""),"FFIN")</f>
        <v>FFIN</v>
      </c>
    </row>
    <row r="1407">
      <c r="A1407" s="1" t="str">
        <f>IFERROR(__xludf.DUMMYFUNCTION("""COMPUTED_VALUE"""),"FFIV")</f>
        <v>FFIV</v>
      </c>
    </row>
    <row r="1408">
      <c r="A1408" s="1" t="str">
        <f>IFERROR(__xludf.DUMMYFUNCTION("""COMPUTED_VALUE"""),"FFNW")</f>
        <v>FFNW</v>
      </c>
    </row>
    <row r="1409">
      <c r="A1409" s="1" t="str">
        <f>IFERROR(__xludf.DUMMYFUNCTION("""COMPUTED_VALUE"""),"FFWM")</f>
        <v>FFWM</v>
      </c>
    </row>
    <row r="1410">
      <c r="A1410" s="1" t="str">
        <f>IFERROR(__xludf.DUMMYFUNCTION("""COMPUTED_VALUE"""),"FGBI")</f>
        <v>FGBI</v>
      </c>
    </row>
    <row r="1411">
      <c r="A1411" s="1" t="str">
        <f>IFERROR(__xludf.DUMMYFUNCTION("""COMPUTED_VALUE"""),"FGBIP")</f>
        <v>FGBIP</v>
      </c>
    </row>
    <row r="1412">
      <c r="A1412" s="1" t="str">
        <f>IFERROR(__xludf.DUMMYFUNCTION("""COMPUTED_VALUE"""),"FGEN")</f>
        <v>FGEN</v>
      </c>
    </row>
    <row r="1413">
      <c r="A1413" s="1" t="str">
        <f>IFERROR(__xludf.DUMMYFUNCTION("""COMPUTED_VALUE"""),"FGF")</f>
        <v>FGF</v>
      </c>
    </row>
    <row r="1414">
      <c r="A1414" s="1" t="str">
        <f>IFERROR(__xludf.DUMMYFUNCTION("""COMPUTED_VALUE"""),"FGFPP")</f>
        <v>FGFPP</v>
      </c>
    </row>
    <row r="1415">
      <c r="A1415" s="1" t="str">
        <f>IFERROR(__xludf.DUMMYFUNCTION("""COMPUTED_VALUE"""),"FHB")</f>
        <v>FHB</v>
      </c>
    </row>
    <row r="1416">
      <c r="A1416" s="1" t="str">
        <f>IFERROR(__xludf.DUMMYFUNCTION("""COMPUTED_VALUE"""),"FHTX")</f>
        <v>FHTX</v>
      </c>
    </row>
    <row r="1417">
      <c r="A1417" s="1" t="str">
        <f>IFERROR(__xludf.DUMMYFUNCTION("""COMPUTED_VALUE"""),"FIBK")</f>
        <v>FIBK</v>
      </c>
    </row>
    <row r="1418">
      <c r="A1418" s="1" t="str">
        <f>IFERROR(__xludf.DUMMYFUNCTION("""COMPUTED_VALUE"""),"FINM")</f>
        <v>FINM</v>
      </c>
    </row>
    <row r="1419">
      <c r="A1419" s="1" t="str">
        <f>IFERROR(__xludf.DUMMYFUNCTION("""COMPUTED_VALUE"""),"FINMU")</f>
        <v>FINMU</v>
      </c>
    </row>
    <row r="1420">
      <c r="A1420" s="1" t="str">
        <f>IFERROR(__xludf.DUMMYFUNCTION("""COMPUTED_VALUE"""),"FINMW")</f>
        <v>FINMW</v>
      </c>
    </row>
    <row r="1421">
      <c r="A1421" s="1" t="str">
        <f>IFERROR(__xludf.DUMMYFUNCTION("""COMPUTED_VALUE"""),"FISI")</f>
        <v>FISI</v>
      </c>
    </row>
    <row r="1422">
      <c r="A1422" s="1" t="str">
        <f>IFERROR(__xludf.DUMMYFUNCTION("""COMPUTED_VALUE"""),"FISV")</f>
        <v>FISV</v>
      </c>
    </row>
    <row r="1423">
      <c r="A1423" s="1" t="str">
        <f>IFERROR(__xludf.DUMMYFUNCTION("""COMPUTED_VALUE"""),"FITB")</f>
        <v>FITB</v>
      </c>
    </row>
    <row r="1424">
      <c r="A1424" s="1" t="str">
        <f>IFERROR(__xludf.DUMMYFUNCTION("""COMPUTED_VALUE"""),"FITBI")</f>
        <v>FITBI</v>
      </c>
    </row>
    <row r="1425">
      <c r="A1425" s="1" t="str">
        <f>IFERROR(__xludf.DUMMYFUNCTION("""COMPUTED_VALUE"""),"FITBO")</f>
        <v>FITBO</v>
      </c>
    </row>
    <row r="1426">
      <c r="A1426" s="1" t="str">
        <f>IFERROR(__xludf.DUMMYFUNCTION("""COMPUTED_VALUE"""),"FITBP")</f>
        <v>FITBP</v>
      </c>
    </row>
    <row r="1427">
      <c r="A1427" s="1" t="str">
        <f>IFERROR(__xludf.DUMMYFUNCTION("""COMPUTED_VALUE"""),"FIVE")</f>
        <v>FIVE</v>
      </c>
    </row>
    <row r="1428">
      <c r="A1428" s="1" t="str">
        <f>IFERROR(__xludf.DUMMYFUNCTION("""COMPUTED_VALUE"""),"FIVN")</f>
        <v>FIVN</v>
      </c>
    </row>
    <row r="1429">
      <c r="A1429" s="1" t="str">
        <f>IFERROR(__xludf.DUMMYFUNCTION("""COMPUTED_VALUE"""),"FIXX")</f>
        <v>FIXX</v>
      </c>
    </row>
    <row r="1430">
      <c r="A1430" s="1" t="str">
        <f>IFERROR(__xludf.DUMMYFUNCTION("""COMPUTED_VALUE"""),"FIZZ")</f>
        <v>FIZZ</v>
      </c>
    </row>
    <row r="1431">
      <c r="A1431" s="1" t="str">
        <f>IFERROR(__xludf.DUMMYFUNCTION("""COMPUTED_VALUE"""),"FKWL")</f>
        <v>FKWL</v>
      </c>
    </row>
    <row r="1432">
      <c r="A1432" s="1" t="str">
        <f>IFERROR(__xludf.DUMMYFUNCTION("""COMPUTED_VALUE"""),"FLAC")</f>
        <v>FLAC</v>
      </c>
    </row>
    <row r="1433">
      <c r="A1433" s="1" t="str">
        <f>IFERROR(__xludf.DUMMYFUNCTION("""COMPUTED_VALUE"""),"FLACU")</f>
        <v>FLACU</v>
      </c>
    </row>
    <row r="1434">
      <c r="A1434" s="1" t="str">
        <f>IFERROR(__xludf.DUMMYFUNCTION("""COMPUTED_VALUE"""),"FLACW")</f>
        <v>FLACW</v>
      </c>
    </row>
    <row r="1435">
      <c r="A1435" s="1" t="str">
        <f>IFERROR(__xludf.DUMMYFUNCTION("""COMPUTED_VALUE"""),"FLDM")</f>
        <v>FLDM</v>
      </c>
    </row>
    <row r="1436">
      <c r="A1436" s="1" t="str">
        <f>IFERROR(__xludf.DUMMYFUNCTION("""COMPUTED_VALUE"""),"FLEX")</f>
        <v>FLEX</v>
      </c>
    </row>
    <row r="1437">
      <c r="A1437" s="1" t="str">
        <f>IFERROR(__xludf.DUMMYFUNCTION("""COMPUTED_VALUE"""),"FLGC")</f>
        <v>FLGC</v>
      </c>
    </row>
    <row r="1438">
      <c r="A1438" s="1" t="str">
        <f>IFERROR(__xludf.DUMMYFUNCTION("""COMPUTED_VALUE"""),"FLGT")</f>
        <v>FLGT</v>
      </c>
    </row>
    <row r="1439">
      <c r="A1439" s="1" t="str">
        <f>IFERROR(__xludf.DUMMYFUNCTION("""COMPUTED_VALUE"""),"FLIC")</f>
        <v>FLIC</v>
      </c>
    </row>
    <row r="1440">
      <c r="A1440" s="1" t="str">
        <f>IFERROR(__xludf.DUMMYFUNCTION("""COMPUTED_VALUE"""),"FLL")</f>
        <v>FLL</v>
      </c>
    </row>
    <row r="1441">
      <c r="A1441" s="1" t="str">
        <f>IFERROR(__xludf.DUMMYFUNCTION("""COMPUTED_VALUE"""),"FLMN")</f>
        <v>FLMN</v>
      </c>
    </row>
    <row r="1442">
      <c r="A1442" s="1" t="str">
        <f>IFERROR(__xludf.DUMMYFUNCTION("""COMPUTED_VALUE"""),"FLMNW")</f>
        <v>FLMNW</v>
      </c>
    </row>
    <row r="1443">
      <c r="A1443" s="1" t="str">
        <f>IFERROR(__xludf.DUMMYFUNCTION("""COMPUTED_VALUE"""),"FLNT")</f>
        <v>FLNT</v>
      </c>
    </row>
    <row r="1444">
      <c r="A1444" s="1" t="str">
        <f>IFERROR(__xludf.DUMMYFUNCTION("""COMPUTED_VALUE"""),"FLUX")</f>
        <v>FLUX</v>
      </c>
    </row>
    <row r="1445">
      <c r="A1445" s="1" t="str">
        <f>IFERROR(__xludf.DUMMYFUNCTION("""COMPUTED_VALUE"""),"FLWS")</f>
        <v>FLWS</v>
      </c>
    </row>
    <row r="1446">
      <c r="A1446" s="1" t="str">
        <f>IFERROR(__xludf.DUMMYFUNCTION("""COMPUTED_VALUE"""),"FLXN")</f>
        <v>FLXN</v>
      </c>
    </row>
    <row r="1447">
      <c r="A1447" s="1" t="str">
        <f>IFERROR(__xludf.DUMMYFUNCTION("""COMPUTED_VALUE"""),"FLXS")</f>
        <v>FLXS</v>
      </c>
    </row>
    <row r="1448">
      <c r="A1448" s="1" t="str">
        <f>IFERROR(__xludf.DUMMYFUNCTION("""COMPUTED_VALUE"""),"FLYW")</f>
        <v>FLYW</v>
      </c>
    </row>
    <row r="1449">
      <c r="A1449" s="1" t="str">
        <f>IFERROR(__xludf.DUMMYFUNCTION("""COMPUTED_VALUE"""),"FMAO")</f>
        <v>FMAO</v>
      </c>
    </row>
    <row r="1450">
      <c r="A1450" s="1" t="str">
        <f>IFERROR(__xludf.DUMMYFUNCTION("""COMPUTED_VALUE"""),"FMBH")</f>
        <v>FMBH</v>
      </c>
    </row>
    <row r="1451">
      <c r="A1451" s="1" t="str">
        <f>IFERROR(__xludf.DUMMYFUNCTION("""COMPUTED_VALUE"""),"FMBI")</f>
        <v>FMBI</v>
      </c>
    </row>
    <row r="1452">
      <c r="A1452" s="1" t="str">
        <f>IFERROR(__xludf.DUMMYFUNCTION("""COMPUTED_VALUE"""),"FMBIO")</f>
        <v>FMBIO</v>
      </c>
    </row>
    <row r="1453">
      <c r="A1453" s="1" t="str">
        <f>IFERROR(__xludf.DUMMYFUNCTION("""COMPUTED_VALUE"""),"FMBIP")</f>
        <v>FMBIP</v>
      </c>
    </row>
    <row r="1454">
      <c r="A1454" s="1" t="str">
        <f>IFERROR(__xludf.DUMMYFUNCTION("""COMPUTED_VALUE"""),"FMIVU")</f>
        <v>FMIVU</v>
      </c>
    </row>
    <row r="1455">
      <c r="A1455" s="1" t="str">
        <f>IFERROR(__xludf.DUMMYFUNCTION("""COMPUTED_VALUE"""),"FMIVW")</f>
        <v>FMIVW</v>
      </c>
    </row>
    <row r="1456">
      <c r="A1456" s="1" t="str">
        <f>IFERROR(__xludf.DUMMYFUNCTION("""COMPUTED_VALUE"""),"FMNB")</f>
        <v>FMNB</v>
      </c>
    </row>
    <row r="1457">
      <c r="A1457" s="1" t="str">
        <f>IFERROR(__xludf.DUMMYFUNCTION("""COMPUTED_VALUE"""),"FMTX")</f>
        <v>FMTX</v>
      </c>
    </row>
    <row r="1458">
      <c r="A1458" s="1" t="str">
        <f>IFERROR(__xludf.DUMMYFUNCTION("""COMPUTED_VALUE"""),"FNCB")</f>
        <v>FNCB</v>
      </c>
    </row>
    <row r="1459">
      <c r="A1459" s="1" t="str">
        <f>IFERROR(__xludf.DUMMYFUNCTION("""COMPUTED_VALUE"""),"FNCH")</f>
        <v>FNCH</v>
      </c>
    </row>
    <row r="1460">
      <c r="A1460" s="1" t="str">
        <f>IFERROR(__xludf.DUMMYFUNCTION("""COMPUTED_VALUE"""),"FNHC")</f>
        <v>FNHC</v>
      </c>
    </row>
    <row r="1461">
      <c r="A1461" s="1" t="str">
        <f>IFERROR(__xludf.DUMMYFUNCTION("""COMPUTED_VALUE"""),"FNKO")</f>
        <v>FNKO</v>
      </c>
    </row>
    <row r="1462">
      <c r="A1462" s="1" t="str">
        <f>IFERROR(__xludf.DUMMYFUNCTION("""COMPUTED_VALUE"""),"FNLC")</f>
        <v>FNLC</v>
      </c>
    </row>
    <row r="1463">
      <c r="A1463" s="1" t="str">
        <f>IFERROR(__xludf.DUMMYFUNCTION("""COMPUTED_VALUE"""),"FNWB")</f>
        <v>FNWB</v>
      </c>
    </row>
    <row r="1464">
      <c r="A1464" s="1" t="str">
        <f>IFERROR(__xludf.DUMMYFUNCTION("""COMPUTED_VALUE"""),"FOCS")</f>
        <v>FOCS</v>
      </c>
    </row>
    <row r="1465">
      <c r="A1465" s="1" t="str">
        <f>IFERROR(__xludf.DUMMYFUNCTION("""COMPUTED_VALUE"""),"FOLD")</f>
        <v>FOLD</v>
      </c>
    </row>
    <row r="1466">
      <c r="A1466" s="1" t="str">
        <f>IFERROR(__xludf.DUMMYFUNCTION("""COMPUTED_VALUE"""),"FONR")</f>
        <v>FONR</v>
      </c>
    </row>
    <row r="1467">
      <c r="A1467" s="1" t="str">
        <f>IFERROR(__xludf.DUMMYFUNCTION("""COMPUTED_VALUE"""),"FORA")</f>
        <v>FORA</v>
      </c>
    </row>
    <row r="1468">
      <c r="A1468" s="1" t="str">
        <f>IFERROR(__xludf.DUMMYFUNCTION("""COMPUTED_VALUE"""),"FORD")</f>
        <v>FORD</v>
      </c>
    </row>
    <row r="1469">
      <c r="A1469" s="1" t="str">
        <f>IFERROR(__xludf.DUMMYFUNCTION("""COMPUTED_VALUE"""),"FOREU")</f>
        <v>FOREU</v>
      </c>
    </row>
    <row r="1470">
      <c r="A1470" s="1" t="str">
        <f>IFERROR(__xludf.DUMMYFUNCTION("""COMPUTED_VALUE"""),"FOREW")</f>
        <v>FOREW</v>
      </c>
    </row>
    <row r="1471">
      <c r="A1471" s="1" t="str">
        <f>IFERROR(__xludf.DUMMYFUNCTION("""COMPUTED_VALUE"""),"FORM")</f>
        <v>FORM</v>
      </c>
    </row>
    <row r="1472">
      <c r="A1472" s="1" t="str">
        <f>IFERROR(__xludf.DUMMYFUNCTION("""COMPUTED_VALUE"""),"FORR")</f>
        <v>FORR</v>
      </c>
    </row>
    <row r="1473">
      <c r="A1473" s="1" t="str">
        <f>IFERROR(__xludf.DUMMYFUNCTION("""COMPUTED_VALUE"""),"FORTY")</f>
        <v>FORTY</v>
      </c>
    </row>
    <row r="1474">
      <c r="A1474" s="1" t="str">
        <f>IFERROR(__xludf.DUMMYFUNCTION("""COMPUTED_VALUE"""),"FOSL")</f>
        <v>FOSL</v>
      </c>
    </row>
    <row r="1475">
      <c r="A1475" s="1" t="str">
        <f>IFERROR(__xludf.DUMMYFUNCTION("""COMPUTED_VALUE"""),"FOX")</f>
        <v>FOX</v>
      </c>
    </row>
    <row r="1476">
      <c r="A1476" s="1" t="str">
        <f>IFERROR(__xludf.DUMMYFUNCTION("""COMPUTED_VALUE"""),"FOXA")</f>
        <v>FOXA</v>
      </c>
    </row>
    <row r="1477">
      <c r="A1477" s="1" t="str">
        <f>IFERROR(__xludf.DUMMYFUNCTION("""COMPUTED_VALUE"""),"FOXF")</f>
        <v>FOXF</v>
      </c>
    </row>
    <row r="1478">
      <c r="A1478" s="1" t="str">
        <f>IFERROR(__xludf.DUMMYFUNCTION("""COMPUTED_VALUE"""),"FOXWW")</f>
        <v>FOXWW</v>
      </c>
    </row>
    <row r="1479">
      <c r="A1479" s="1" t="str">
        <f>IFERROR(__xludf.DUMMYFUNCTION("""COMPUTED_VALUE"""),"FPAY")</f>
        <v>FPAY</v>
      </c>
    </row>
    <row r="1480">
      <c r="A1480" s="1" t="str">
        <f>IFERROR(__xludf.DUMMYFUNCTION("""COMPUTED_VALUE"""),"FRAF")</f>
        <v>FRAF</v>
      </c>
    </row>
    <row r="1481">
      <c r="A1481" s="1" t="str">
        <f>IFERROR(__xludf.DUMMYFUNCTION("""COMPUTED_VALUE"""),"FRBA")</f>
        <v>FRBA</v>
      </c>
    </row>
    <row r="1482">
      <c r="A1482" s="1" t="str">
        <f>IFERROR(__xludf.DUMMYFUNCTION("""COMPUTED_VALUE"""),"FRBK")</f>
        <v>FRBK</v>
      </c>
    </row>
    <row r="1483">
      <c r="A1483" s="1" t="str">
        <f>IFERROR(__xludf.DUMMYFUNCTION("""COMPUTED_VALUE"""),"FREE")</f>
        <v>FREE</v>
      </c>
    </row>
    <row r="1484">
      <c r="A1484" s="1" t="str">
        <f>IFERROR(__xludf.DUMMYFUNCTION("""COMPUTED_VALUE"""),"FREEW")</f>
        <v>FREEW</v>
      </c>
    </row>
    <row r="1485">
      <c r="A1485" s="1" t="str">
        <f>IFERROR(__xludf.DUMMYFUNCTION("""COMPUTED_VALUE"""),"FREQ")</f>
        <v>FREQ</v>
      </c>
    </row>
    <row r="1486">
      <c r="A1486" s="1" t="str">
        <f>IFERROR(__xludf.DUMMYFUNCTION("""COMPUTED_VALUE"""),"FRG")</f>
        <v>FRG</v>
      </c>
    </row>
    <row r="1487">
      <c r="A1487" s="1" t="str">
        <f>IFERROR(__xludf.DUMMYFUNCTION("""COMPUTED_VALUE"""),"FRGAP")</f>
        <v>FRGAP</v>
      </c>
    </row>
    <row r="1488">
      <c r="A1488" s="1" t="str">
        <f>IFERROR(__xludf.DUMMYFUNCTION("""COMPUTED_VALUE"""),"FRGI")</f>
        <v>FRGI</v>
      </c>
    </row>
    <row r="1489">
      <c r="A1489" s="1" t="str">
        <f>IFERROR(__xludf.DUMMYFUNCTION("""COMPUTED_VALUE"""),"FRHC")</f>
        <v>FRHC</v>
      </c>
    </row>
    <row r="1490">
      <c r="A1490" s="1" t="str">
        <f>IFERROR(__xludf.DUMMYFUNCTION("""COMPUTED_VALUE"""),"FRLN")</f>
        <v>FRLN</v>
      </c>
    </row>
    <row r="1491">
      <c r="A1491" s="1" t="str">
        <f>IFERROR(__xludf.DUMMYFUNCTION("""COMPUTED_VALUE"""),"FRME")</f>
        <v>FRME</v>
      </c>
    </row>
    <row r="1492">
      <c r="A1492" s="1" t="str">
        <f>IFERROR(__xludf.DUMMYFUNCTION("""COMPUTED_VALUE"""),"FROG")</f>
        <v>FROG</v>
      </c>
    </row>
    <row r="1493">
      <c r="A1493" s="1" t="str">
        <f>IFERROR(__xludf.DUMMYFUNCTION("""COMPUTED_VALUE"""),"FRON")</f>
        <v>FRON</v>
      </c>
    </row>
    <row r="1494">
      <c r="A1494" s="1" t="str">
        <f>IFERROR(__xludf.DUMMYFUNCTION("""COMPUTED_VALUE"""),"FRONU")</f>
        <v>FRONU</v>
      </c>
    </row>
    <row r="1495">
      <c r="A1495" s="1" t="str">
        <f>IFERROR(__xludf.DUMMYFUNCTION("""COMPUTED_VALUE"""),"FRONW")</f>
        <v>FRONW</v>
      </c>
    </row>
    <row r="1496">
      <c r="A1496" s="1" t="str">
        <f>IFERROR(__xludf.DUMMYFUNCTION("""COMPUTED_VALUE"""),"FRPH")</f>
        <v>FRPH</v>
      </c>
    </row>
    <row r="1497">
      <c r="A1497" s="1" t="str">
        <f>IFERROR(__xludf.DUMMYFUNCTION("""COMPUTED_VALUE"""),"FRPT")</f>
        <v>FRPT</v>
      </c>
    </row>
    <row r="1498">
      <c r="A1498" s="1" t="str">
        <f>IFERROR(__xludf.DUMMYFUNCTION("""COMPUTED_VALUE"""),"FRSGW")</f>
        <v>FRSGW</v>
      </c>
    </row>
    <row r="1499">
      <c r="A1499" s="1" t="str">
        <f>IFERROR(__xludf.DUMMYFUNCTION("""COMPUTED_VALUE"""),"FRST")</f>
        <v>FRST</v>
      </c>
    </row>
    <row r="1500">
      <c r="A1500" s="1" t="str">
        <f>IFERROR(__xludf.DUMMYFUNCTION("""COMPUTED_VALUE"""),"FRSX")</f>
        <v>FRSX</v>
      </c>
    </row>
    <row r="1501">
      <c r="A1501" s="1" t="str">
        <f>IFERROR(__xludf.DUMMYFUNCTION("""COMPUTED_VALUE"""),"FRTA")</f>
        <v>FRTA</v>
      </c>
    </row>
    <row r="1502">
      <c r="A1502" s="1" t="str">
        <f>IFERROR(__xludf.DUMMYFUNCTION("""COMPUTED_VALUE"""),"FRW")</f>
        <v>FRW</v>
      </c>
    </row>
    <row r="1503">
      <c r="A1503" s="1" t="str">
        <f>IFERROR(__xludf.DUMMYFUNCTION("""COMPUTED_VALUE"""),"FRWAU")</f>
        <v>FRWAU</v>
      </c>
    </row>
    <row r="1504">
      <c r="A1504" s="1" t="str">
        <f>IFERROR(__xludf.DUMMYFUNCTION("""COMPUTED_VALUE"""),"FRWAW")</f>
        <v>FRWAW</v>
      </c>
    </row>
    <row r="1505">
      <c r="A1505" s="1" t="str">
        <f>IFERROR(__xludf.DUMMYFUNCTION("""COMPUTED_VALUE"""),"FSBC")</f>
        <v>FSBC</v>
      </c>
    </row>
    <row r="1506">
      <c r="A1506" s="1" t="str">
        <f>IFERROR(__xludf.DUMMYFUNCTION("""COMPUTED_VALUE"""),"FSBW")</f>
        <v>FSBW</v>
      </c>
    </row>
    <row r="1507">
      <c r="A1507" s="1" t="str">
        <f>IFERROR(__xludf.DUMMYFUNCTION("""COMPUTED_VALUE"""),"FSEA")</f>
        <v>FSEA</v>
      </c>
    </row>
    <row r="1508">
      <c r="A1508" s="1" t="str">
        <f>IFERROR(__xludf.DUMMYFUNCTION("""COMPUTED_VALUE"""),"FSFG")</f>
        <v>FSFG</v>
      </c>
    </row>
    <row r="1509">
      <c r="A1509" s="1" t="str">
        <f>IFERROR(__xludf.DUMMYFUNCTION("""COMPUTED_VALUE"""),"FSII")</f>
        <v>FSII</v>
      </c>
    </row>
    <row r="1510">
      <c r="A1510" s="1" t="str">
        <f>IFERROR(__xludf.DUMMYFUNCTION("""COMPUTED_VALUE"""),"FSLR")</f>
        <v>FSLR</v>
      </c>
    </row>
    <row r="1511">
      <c r="A1511" s="1" t="str">
        <f>IFERROR(__xludf.DUMMYFUNCTION("""COMPUTED_VALUE"""),"FSRX")</f>
        <v>FSRX</v>
      </c>
    </row>
    <row r="1512">
      <c r="A1512" s="1" t="str">
        <f>IFERROR(__xludf.DUMMYFUNCTION("""COMPUTED_VALUE"""),"FSRXU")</f>
        <v>FSRXU</v>
      </c>
    </row>
    <row r="1513">
      <c r="A1513" s="1" t="str">
        <f>IFERROR(__xludf.DUMMYFUNCTION("""COMPUTED_VALUE"""),"FSRXW")</f>
        <v>FSRXW</v>
      </c>
    </row>
    <row r="1514">
      <c r="A1514" s="1" t="str">
        <f>IFERROR(__xludf.DUMMYFUNCTION("""COMPUTED_VALUE"""),"FSSIU")</f>
        <v>FSSIU</v>
      </c>
    </row>
    <row r="1515">
      <c r="A1515" s="1" t="str">
        <f>IFERROR(__xludf.DUMMYFUNCTION("""COMPUTED_VALUE"""),"FSSIW")</f>
        <v>FSSIW</v>
      </c>
    </row>
    <row r="1516">
      <c r="A1516" s="1" t="str">
        <f>IFERROR(__xludf.DUMMYFUNCTION("""COMPUTED_VALUE"""),"FSTR")</f>
        <v>FSTR</v>
      </c>
    </row>
    <row r="1517">
      <c r="A1517" s="1" t="str">
        <f>IFERROR(__xludf.DUMMYFUNCTION("""COMPUTED_VALUE"""),"FSTX")</f>
        <v>FSTX</v>
      </c>
    </row>
    <row r="1518">
      <c r="A1518" s="1" t="str">
        <f>IFERROR(__xludf.DUMMYFUNCTION("""COMPUTED_VALUE"""),"FSV")</f>
        <v>FSV</v>
      </c>
    </row>
    <row r="1519">
      <c r="A1519" s="1" t="str">
        <f>IFERROR(__xludf.DUMMYFUNCTION("""COMPUTED_VALUE"""),"FTAA")</f>
        <v>FTAA</v>
      </c>
    </row>
    <row r="1520">
      <c r="A1520" s="1" t="str">
        <f>IFERROR(__xludf.DUMMYFUNCTION("""COMPUTED_VALUE"""),"FTAAU")</f>
        <v>FTAAU</v>
      </c>
    </row>
    <row r="1521">
      <c r="A1521" s="1" t="str">
        <f>IFERROR(__xludf.DUMMYFUNCTION("""COMPUTED_VALUE"""),"FTAAW")</f>
        <v>FTAAW</v>
      </c>
    </row>
    <row r="1522">
      <c r="A1522" s="1" t="str">
        <f>IFERROR(__xludf.DUMMYFUNCTION("""COMPUTED_VALUE"""),"FTCI")</f>
        <v>FTCI</v>
      </c>
    </row>
    <row r="1523">
      <c r="A1523" s="1" t="str">
        <f>IFERROR(__xludf.DUMMYFUNCTION("""COMPUTED_VALUE"""),"FTCV")</f>
        <v>FTCV</v>
      </c>
    </row>
    <row r="1524">
      <c r="A1524" s="1" t="str">
        <f>IFERROR(__xludf.DUMMYFUNCTION("""COMPUTED_VALUE"""),"FTCVU")</f>
        <v>FTCVU</v>
      </c>
    </row>
    <row r="1525">
      <c r="A1525" s="1" t="str">
        <f>IFERROR(__xludf.DUMMYFUNCTION("""COMPUTED_VALUE"""),"FTCVW")</f>
        <v>FTCVW</v>
      </c>
    </row>
    <row r="1526">
      <c r="A1526" s="1" t="str">
        <f>IFERROR(__xludf.DUMMYFUNCTION("""COMPUTED_VALUE"""),"FTDR")</f>
        <v>FTDR</v>
      </c>
    </row>
    <row r="1527">
      <c r="A1527" s="1" t="str">
        <f>IFERROR(__xludf.DUMMYFUNCTION("""COMPUTED_VALUE"""),"FTEK")</f>
        <v>FTEK</v>
      </c>
    </row>
    <row r="1528">
      <c r="A1528" s="1" t="str">
        <f>IFERROR(__xludf.DUMMYFUNCTION("""COMPUTED_VALUE"""),"FTFT")</f>
        <v>FTFT</v>
      </c>
    </row>
    <row r="1529">
      <c r="A1529" s="1" t="str">
        <f>IFERROR(__xludf.DUMMYFUNCTION("""COMPUTED_VALUE"""),"FTHM")</f>
        <v>FTHM</v>
      </c>
    </row>
    <row r="1530">
      <c r="A1530" s="1" t="str">
        <f>IFERROR(__xludf.DUMMYFUNCTION("""COMPUTED_VALUE"""),"FTNT")</f>
        <v>FTNT</v>
      </c>
    </row>
    <row r="1531">
      <c r="A1531" s="1" t="str">
        <f>IFERROR(__xludf.DUMMYFUNCTION("""COMPUTED_VALUE"""),"FTPAU")</f>
        <v>FTPAU</v>
      </c>
    </row>
    <row r="1532">
      <c r="A1532" s="1" t="str">
        <f>IFERROR(__xludf.DUMMYFUNCTION("""COMPUTED_VALUE"""),"FTPAW")</f>
        <v>FTPAW</v>
      </c>
    </row>
    <row r="1533">
      <c r="A1533" s="1" t="str">
        <f>IFERROR(__xludf.DUMMYFUNCTION("""COMPUTED_VALUE"""),"FTRP")</f>
        <v>FTRP</v>
      </c>
    </row>
    <row r="1534">
      <c r="A1534" s="1" t="str">
        <f>IFERROR(__xludf.DUMMYFUNCTION("""COMPUTED_VALUE"""),"FTVIU")</f>
        <v>FTVIU</v>
      </c>
    </row>
    <row r="1535">
      <c r="A1535" s="1" t="str">
        <f>IFERROR(__xludf.DUMMYFUNCTION("""COMPUTED_VALUE"""),"FULC")</f>
        <v>FULC</v>
      </c>
    </row>
    <row r="1536">
      <c r="A1536" s="1" t="str">
        <f>IFERROR(__xludf.DUMMYFUNCTION("""COMPUTED_VALUE"""),"FULT")</f>
        <v>FULT</v>
      </c>
    </row>
    <row r="1537">
      <c r="A1537" s="1" t="str">
        <f>IFERROR(__xludf.DUMMYFUNCTION("""COMPUTED_VALUE"""),"FULTP")</f>
        <v>FULTP</v>
      </c>
    </row>
    <row r="1538">
      <c r="A1538" s="1" t="str">
        <f>IFERROR(__xludf.DUMMYFUNCTION("""COMPUTED_VALUE"""),"FUNC")</f>
        <v>FUNC</v>
      </c>
    </row>
    <row r="1539">
      <c r="A1539" s="1" t="str">
        <f>IFERROR(__xludf.DUMMYFUNCTION("""COMPUTED_VALUE"""),"FUND")</f>
        <v>FUND</v>
      </c>
    </row>
    <row r="1540">
      <c r="A1540" s="1" t="str">
        <f>IFERROR(__xludf.DUMMYFUNCTION("""COMPUTED_VALUE"""),"FUSB")</f>
        <v>FUSB</v>
      </c>
    </row>
    <row r="1541">
      <c r="A1541" s="1" t="str">
        <f>IFERROR(__xludf.DUMMYFUNCTION("""COMPUTED_VALUE"""),"FUSN")</f>
        <v>FUSN</v>
      </c>
    </row>
    <row r="1542">
      <c r="A1542" s="1" t="str">
        <f>IFERROR(__xludf.DUMMYFUNCTION("""COMPUTED_VALUE"""),"FUTU")</f>
        <v>FUTU</v>
      </c>
    </row>
    <row r="1543">
      <c r="A1543" s="1" t="str">
        <f>IFERROR(__xludf.DUMMYFUNCTION("""COMPUTED_VALUE"""),"FUV")</f>
        <v>FUV</v>
      </c>
    </row>
    <row r="1544">
      <c r="A1544" s="1" t="str">
        <f>IFERROR(__xludf.DUMMYFUNCTION("""COMPUTED_VALUE"""),"FVAM")</f>
        <v>FVAM</v>
      </c>
    </row>
    <row r="1545">
      <c r="A1545" s="1" t="str">
        <f>IFERROR(__xludf.DUMMYFUNCTION("""COMPUTED_VALUE"""),"FVCB")</f>
        <v>FVCB</v>
      </c>
    </row>
    <row r="1546">
      <c r="A1546" s="1" t="str">
        <f>IFERROR(__xludf.DUMMYFUNCTION("""COMPUTED_VALUE"""),"FVE")</f>
        <v>FVE</v>
      </c>
    </row>
    <row r="1547">
      <c r="A1547" s="1" t="str">
        <f>IFERROR(__xludf.DUMMYFUNCTION("""COMPUTED_VALUE"""),"FWAA")</f>
        <v>FWAA</v>
      </c>
    </row>
    <row r="1548">
      <c r="A1548" s="1" t="str">
        <f>IFERROR(__xludf.DUMMYFUNCTION("""COMPUTED_VALUE"""),"FWAC")</f>
        <v>FWAC</v>
      </c>
    </row>
    <row r="1549">
      <c r="A1549" s="1" t="str">
        <f>IFERROR(__xludf.DUMMYFUNCTION("""COMPUTED_VALUE"""),"FWONA")</f>
        <v>FWONA</v>
      </c>
    </row>
    <row r="1550">
      <c r="A1550" s="1" t="str">
        <f>IFERROR(__xludf.DUMMYFUNCTION("""COMPUTED_VALUE"""),"FWONK")</f>
        <v>FWONK</v>
      </c>
    </row>
    <row r="1551">
      <c r="A1551" s="1" t="str">
        <f>IFERROR(__xludf.DUMMYFUNCTION("""COMPUTED_VALUE"""),"FWP")</f>
        <v>FWP</v>
      </c>
    </row>
    <row r="1552">
      <c r="A1552" s="1" t="str">
        <f>IFERROR(__xludf.DUMMYFUNCTION("""COMPUTED_VALUE"""),"FWRD")</f>
        <v>FWRD</v>
      </c>
    </row>
    <row r="1553">
      <c r="A1553" s="1" t="str">
        <f>IFERROR(__xludf.DUMMYFUNCTION("""COMPUTED_VALUE"""),"FXNC")</f>
        <v>FXNC</v>
      </c>
    </row>
    <row r="1554">
      <c r="A1554" s="1" t="str">
        <f>IFERROR(__xludf.DUMMYFUNCTION("""COMPUTED_VALUE"""),"FYBR")</f>
        <v>FYBR</v>
      </c>
    </row>
    <row r="1555">
      <c r="A1555" s="1" t="str">
        <f>IFERROR(__xludf.DUMMYFUNCTION("""COMPUTED_VALUE"""),"GABC")</f>
        <v>GABC</v>
      </c>
    </row>
    <row r="1556">
      <c r="A1556" s="1" t="str">
        <f>IFERROR(__xludf.DUMMYFUNCTION("""COMPUTED_VALUE"""),"GACQ")</f>
        <v>GACQ</v>
      </c>
    </row>
    <row r="1557">
      <c r="A1557" s="1" t="str">
        <f>IFERROR(__xludf.DUMMYFUNCTION("""COMPUTED_VALUE"""),"GACQU")</f>
        <v>GACQU</v>
      </c>
    </row>
    <row r="1558">
      <c r="A1558" s="1" t="str">
        <f>IFERROR(__xludf.DUMMYFUNCTION("""COMPUTED_VALUE"""),"GACQW")</f>
        <v>GACQW</v>
      </c>
    </row>
    <row r="1559">
      <c r="A1559" s="1" t="str">
        <f>IFERROR(__xludf.DUMMYFUNCTION("""COMPUTED_VALUE"""),"GAIA")</f>
        <v>GAIA</v>
      </c>
    </row>
    <row r="1560">
      <c r="A1560" s="1" t="str">
        <f>IFERROR(__xludf.DUMMYFUNCTION("""COMPUTED_VALUE"""),"GAIN")</f>
        <v>GAIN</v>
      </c>
    </row>
    <row r="1561">
      <c r="A1561" s="1" t="str">
        <f>IFERROR(__xludf.DUMMYFUNCTION("""COMPUTED_VALUE"""),"GAINL")</f>
        <v>GAINL</v>
      </c>
    </row>
    <row r="1562">
      <c r="A1562" s="1" t="str">
        <f>IFERROR(__xludf.DUMMYFUNCTION("""COMPUTED_VALUE"""),"GAINN")</f>
        <v>GAINN</v>
      </c>
    </row>
    <row r="1563">
      <c r="A1563" s="1" t="str">
        <f>IFERROR(__xludf.DUMMYFUNCTION("""COMPUTED_VALUE"""),"GALT")</f>
        <v>GALT</v>
      </c>
    </row>
    <row r="1564">
      <c r="A1564" s="1" t="str">
        <f>IFERROR(__xludf.DUMMYFUNCTION("""COMPUTED_VALUE"""),"GAMB")</f>
        <v>GAMB</v>
      </c>
    </row>
    <row r="1565">
      <c r="A1565" s="1" t="str">
        <f>IFERROR(__xludf.DUMMYFUNCTION("""COMPUTED_VALUE"""),"GAMC")</f>
        <v>GAMC</v>
      </c>
    </row>
    <row r="1566">
      <c r="A1566" s="1" t="str">
        <f>IFERROR(__xludf.DUMMYFUNCTION("""COMPUTED_VALUE"""),"GAMCU")</f>
        <v>GAMCU</v>
      </c>
    </row>
    <row r="1567">
      <c r="A1567" s="1" t="str">
        <f>IFERROR(__xludf.DUMMYFUNCTION("""COMPUTED_VALUE"""),"GAME")</f>
        <v>GAME</v>
      </c>
    </row>
    <row r="1568">
      <c r="A1568" s="1" t="str">
        <f>IFERROR(__xludf.DUMMYFUNCTION("""COMPUTED_VALUE"""),"GAN")</f>
        <v>GAN</v>
      </c>
    </row>
    <row r="1569">
      <c r="A1569" s="1" t="str">
        <f>IFERROR(__xludf.DUMMYFUNCTION("""COMPUTED_VALUE"""),"GANX")</f>
        <v>GANX</v>
      </c>
    </row>
    <row r="1570">
      <c r="A1570" s="1" t="str">
        <f>IFERROR(__xludf.DUMMYFUNCTION("""COMPUTED_VALUE"""),"GASS")</f>
        <v>GASS</v>
      </c>
    </row>
    <row r="1571">
      <c r="A1571" s="1" t="str">
        <f>IFERROR(__xludf.DUMMYFUNCTION("""COMPUTED_VALUE"""),"GBCI")</f>
        <v>GBCI</v>
      </c>
    </row>
    <row r="1572">
      <c r="A1572" s="1" t="str">
        <f>IFERROR(__xludf.DUMMYFUNCTION("""COMPUTED_VALUE"""),"GBDC")</f>
        <v>GBDC</v>
      </c>
    </row>
    <row r="1573">
      <c r="A1573" s="1" t="str">
        <f>IFERROR(__xludf.DUMMYFUNCTION("""COMPUTED_VALUE"""),"GBIO")</f>
        <v>GBIO</v>
      </c>
    </row>
    <row r="1574">
      <c r="A1574" s="1" t="str">
        <f>IFERROR(__xludf.DUMMYFUNCTION("""COMPUTED_VALUE"""),"GBLI")</f>
        <v>GBLI</v>
      </c>
    </row>
    <row r="1575">
      <c r="A1575" s="1" t="str">
        <f>IFERROR(__xludf.DUMMYFUNCTION("""COMPUTED_VALUE"""),"GBLIL")</f>
        <v>GBLIL</v>
      </c>
    </row>
    <row r="1576">
      <c r="A1576" s="1" t="str">
        <f>IFERROR(__xludf.DUMMYFUNCTION("""COMPUTED_VALUE"""),"GBNH")</f>
        <v>GBNH</v>
      </c>
    </row>
    <row r="1577">
      <c r="A1577" s="1" t="str">
        <f>IFERROR(__xludf.DUMMYFUNCTION("""COMPUTED_VALUE"""),"GBNY")</f>
        <v>GBNY</v>
      </c>
    </row>
    <row r="1578">
      <c r="A1578" s="1" t="str">
        <f>IFERROR(__xludf.DUMMYFUNCTION("""COMPUTED_VALUE"""),"GBOX")</f>
        <v>GBOX</v>
      </c>
    </row>
    <row r="1579">
      <c r="A1579" s="1" t="str">
        <f>IFERROR(__xludf.DUMMYFUNCTION("""COMPUTED_VALUE"""),"GBRGW")</f>
        <v>GBRGW</v>
      </c>
    </row>
    <row r="1580">
      <c r="A1580" s="1" t="str">
        <f>IFERROR(__xludf.DUMMYFUNCTION("""COMPUTED_VALUE"""),"GBS")</f>
        <v>GBS</v>
      </c>
    </row>
    <row r="1581">
      <c r="A1581" s="1" t="str">
        <f>IFERROR(__xludf.DUMMYFUNCTION("""COMPUTED_VALUE"""),"GBT")</f>
        <v>GBT</v>
      </c>
    </row>
    <row r="1582">
      <c r="A1582" s="1" t="str">
        <f>IFERROR(__xludf.DUMMYFUNCTION("""COMPUTED_VALUE"""),"GCAC")</f>
        <v>GCAC</v>
      </c>
    </row>
    <row r="1583">
      <c r="A1583" s="1" t="str">
        <f>IFERROR(__xludf.DUMMYFUNCTION("""COMPUTED_VALUE"""),"GCACU")</f>
        <v>GCACU</v>
      </c>
    </row>
    <row r="1584">
      <c r="A1584" s="1" t="str">
        <f>IFERROR(__xludf.DUMMYFUNCTION("""COMPUTED_VALUE"""),"GCACW")</f>
        <v>GCACW</v>
      </c>
    </row>
    <row r="1585">
      <c r="A1585" s="1" t="str">
        <f>IFERROR(__xludf.DUMMYFUNCTION("""COMPUTED_VALUE"""),"GCBC")</f>
        <v>GCBC</v>
      </c>
    </row>
    <row r="1586">
      <c r="A1586" s="1" t="str">
        <f>IFERROR(__xludf.DUMMYFUNCTION("""COMPUTED_VALUE"""),"GCMG")</f>
        <v>GCMG</v>
      </c>
    </row>
    <row r="1587">
      <c r="A1587" s="1" t="str">
        <f>IFERROR(__xludf.DUMMYFUNCTION("""COMPUTED_VALUE"""),"GCMGW")</f>
        <v>GCMGW</v>
      </c>
    </row>
    <row r="1588">
      <c r="A1588" s="1" t="str">
        <f>IFERROR(__xludf.DUMMYFUNCTION("""COMPUTED_VALUE"""),"GDEN")</f>
        <v>GDEN</v>
      </c>
    </row>
    <row r="1589">
      <c r="A1589" s="1" t="str">
        <f>IFERROR(__xludf.DUMMYFUNCTION("""COMPUTED_VALUE"""),"GDRX")</f>
        <v>GDRX</v>
      </c>
    </row>
    <row r="1590">
      <c r="A1590" s="1" t="str">
        <f>IFERROR(__xludf.DUMMYFUNCTION("""COMPUTED_VALUE"""),"GDS")</f>
        <v>GDS</v>
      </c>
    </row>
    <row r="1591">
      <c r="A1591" s="1" t="str">
        <f>IFERROR(__xludf.DUMMYFUNCTION("""COMPUTED_VALUE"""),"GDYN")</f>
        <v>GDYN</v>
      </c>
    </row>
    <row r="1592">
      <c r="A1592" s="1" t="str">
        <f>IFERROR(__xludf.DUMMYFUNCTION("""COMPUTED_VALUE"""),"GDYNW")</f>
        <v>GDYNW</v>
      </c>
    </row>
    <row r="1593">
      <c r="A1593" s="1" t="str">
        <f>IFERROR(__xludf.DUMMYFUNCTION("""COMPUTED_VALUE"""),"GECC")</f>
        <v>GECC</v>
      </c>
    </row>
    <row r="1594">
      <c r="A1594" s="1" t="str">
        <f>IFERROR(__xludf.DUMMYFUNCTION("""COMPUTED_VALUE"""),"GECCM")</f>
        <v>GECCM</v>
      </c>
    </row>
    <row r="1595">
      <c r="A1595" s="1" t="str">
        <f>IFERROR(__xludf.DUMMYFUNCTION("""COMPUTED_VALUE"""),"GECCN")</f>
        <v>GECCN</v>
      </c>
    </row>
    <row r="1596">
      <c r="A1596" s="1" t="str">
        <f>IFERROR(__xludf.DUMMYFUNCTION("""COMPUTED_VALUE"""),"GECCO")</f>
        <v>GECCO</v>
      </c>
    </row>
    <row r="1597">
      <c r="A1597" s="1" t="str">
        <f>IFERROR(__xludf.DUMMYFUNCTION("""COMPUTED_VALUE"""),"GEG")</f>
        <v>GEG</v>
      </c>
    </row>
    <row r="1598">
      <c r="A1598" s="1" t="str">
        <f>IFERROR(__xludf.DUMMYFUNCTION("""COMPUTED_VALUE"""),"GENC")</f>
        <v>GENC</v>
      </c>
    </row>
    <row r="1599">
      <c r="A1599" s="1" t="str">
        <f>IFERROR(__xludf.DUMMYFUNCTION("""COMPUTED_VALUE"""),"GENE")</f>
        <v>GENE</v>
      </c>
    </row>
    <row r="1600">
      <c r="A1600" s="1" t="str">
        <f>IFERROR(__xludf.DUMMYFUNCTION("""COMPUTED_VALUE"""),"GEOS")</f>
        <v>GEOS</v>
      </c>
    </row>
    <row r="1601">
      <c r="A1601" s="1" t="str">
        <f>IFERROR(__xludf.DUMMYFUNCTION("""COMPUTED_VALUE"""),"GERN")</f>
        <v>GERN</v>
      </c>
    </row>
    <row r="1602">
      <c r="A1602" s="1" t="str">
        <f>IFERROR(__xludf.DUMMYFUNCTION("""COMPUTED_VALUE"""),"GEVO")</f>
        <v>GEVO</v>
      </c>
    </row>
    <row r="1603">
      <c r="A1603" s="1" t="str">
        <f>IFERROR(__xludf.DUMMYFUNCTION("""COMPUTED_VALUE"""),"GFED")</f>
        <v>GFED</v>
      </c>
    </row>
    <row r="1604">
      <c r="A1604" s="1" t="str">
        <f>IFERROR(__xludf.DUMMYFUNCTION("""COMPUTED_VALUE"""),"GGAL")</f>
        <v>GGAL</v>
      </c>
    </row>
    <row r="1605">
      <c r="A1605" s="1" t="str">
        <f>IFERROR(__xludf.DUMMYFUNCTION("""COMPUTED_VALUE"""),"GGGVU")</f>
        <v>GGGVU</v>
      </c>
    </row>
    <row r="1606">
      <c r="A1606" s="1" t="str">
        <f>IFERROR(__xludf.DUMMYFUNCTION("""COMPUTED_VALUE"""),"GGPI")</f>
        <v>GGPI</v>
      </c>
    </row>
    <row r="1607">
      <c r="A1607" s="1" t="str">
        <f>IFERROR(__xludf.DUMMYFUNCTION("""COMPUTED_VALUE"""),"GGPIU")</f>
        <v>GGPIU</v>
      </c>
    </row>
    <row r="1608">
      <c r="A1608" s="1" t="str">
        <f>IFERROR(__xludf.DUMMYFUNCTION("""COMPUTED_VALUE"""),"GGPIW")</f>
        <v>GGPIW</v>
      </c>
    </row>
    <row r="1609">
      <c r="A1609" s="1" t="str">
        <f>IFERROR(__xludf.DUMMYFUNCTION("""COMPUTED_VALUE"""),"GH")</f>
        <v>GH</v>
      </c>
    </row>
    <row r="1610">
      <c r="A1610" s="1" t="str">
        <f>IFERROR(__xludf.DUMMYFUNCTION("""COMPUTED_VALUE"""),"GHAC")</f>
        <v>GHAC</v>
      </c>
    </row>
    <row r="1611">
      <c r="A1611" s="1" t="str">
        <f>IFERROR(__xludf.DUMMYFUNCTION("""COMPUTED_VALUE"""),"GHACU")</f>
        <v>GHACU</v>
      </c>
    </row>
    <row r="1612">
      <c r="A1612" s="1" t="str">
        <f>IFERROR(__xludf.DUMMYFUNCTION("""COMPUTED_VALUE"""),"GHACW")</f>
        <v>GHACW</v>
      </c>
    </row>
    <row r="1613">
      <c r="A1613" s="1" t="str">
        <f>IFERROR(__xludf.DUMMYFUNCTION("""COMPUTED_VALUE"""),"GHRS")</f>
        <v>GHRS</v>
      </c>
    </row>
    <row r="1614">
      <c r="A1614" s="1" t="str">
        <f>IFERROR(__xludf.DUMMYFUNCTION("""COMPUTED_VALUE"""),"GHSI")</f>
        <v>GHSI</v>
      </c>
    </row>
    <row r="1615">
      <c r="A1615" s="1" t="str">
        <f>IFERROR(__xludf.DUMMYFUNCTION("""COMPUTED_VALUE"""),"GIFI")</f>
        <v>GIFI</v>
      </c>
    </row>
    <row r="1616">
      <c r="A1616" s="1" t="str">
        <f>IFERROR(__xludf.DUMMYFUNCTION("""COMPUTED_VALUE"""),"GIG")</f>
        <v>GIG</v>
      </c>
    </row>
    <row r="1617">
      <c r="A1617" s="1" t="str">
        <f>IFERROR(__xludf.DUMMYFUNCTION("""COMPUTED_VALUE"""),"GIGGU")</f>
        <v>GIGGU</v>
      </c>
    </row>
    <row r="1618">
      <c r="A1618" s="1" t="str">
        <f>IFERROR(__xludf.DUMMYFUNCTION("""COMPUTED_VALUE"""),"GIGGW")</f>
        <v>GIGGW</v>
      </c>
    </row>
    <row r="1619">
      <c r="A1619" s="1" t="str">
        <f>IFERROR(__xludf.DUMMYFUNCTION("""COMPUTED_VALUE"""),"GIGM")</f>
        <v>GIGM</v>
      </c>
    </row>
    <row r="1620">
      <c r="A1620" s="1" t="str">
        <f>IFERROR(__xludf.DUMMYFUNCTION("""COMPUTED_VALUE"""),"GIII")</f>
        <v>GIII</v>
      </c>
    </row>
    <row r="1621">
      <c r="A1621" s="1" t="str">
        <f>IFERROR(__xludf.DUMMYFUNCTION("""COMPUTED_VALUE"""),"GIIX")</f>
        <v>GIIX</v>
      </c>
    </row>
    <row r="1622">
      <c r="A1622" s="1" t="str">
        <f>IFERROR(__xludf.DUMMYFUNCTION("""COMPUTED_VALUE"""),"GIIXU")</f>
        <v>GIIXU</v>
      </c>
    </row>
    <row r="1623">
      <c r="A1623" s="1" t="str">
        <f>IFERROR(__xludf.DUMMYFUNCTION("""COMPUTED_VALUE"""),"GIIXW")</f>
        <v>GIIXW</v>
      </c>
    </row>
    <row r="1624">
      <c r="A1624" s="1" t="str">
        <f>IFERROR(__xludf.DUMMYFUNCTION("""COMPUTED_VALUE"""),"GILD")</f>
        <v>GILD</v>
      </c>
    </row>
    <row r="1625">
      <c r="A1625" s="1" t="str">
        <f>IFERROR(__xludf.DUMMYFUNCTION("""COMPUTED_VALUE"""),"GILT")</f>
        <v>GILT</v>
      </c>
    </row>
    <row r="1626">
      <c r="A1626" s="1" t="str">
        <f>IFERROR(__xludf.DUMMYFUNCTION("""COMPUTED_VALUE"""),"GIW")</f>
        <v>GIW</v>
      </c>
    </row>
    <row r="1627">
      <c r="A1627" s="1" t="str">
        <f>IFERROR(__xludf.DUMMYFUNCTION("""COMPUTED_VALUE"""),"GIWWU")</f>
        <v>GIWWU</v>
      </c>
    </row>
    <row r="1628">
      <c r="A1628" s="1" t="str">
        <f>IFERROR(__xludf.DUMMYFUNCTION("""COMPUTED_VALUE"""),"GIWWW")</f>
        <v>GIWWW</v>
      </c>
    </row>
    <row r="1629">
      <c r="A1629" s="1" t="str">
        <f>IFERROR(__xludf.DUMMYFUNCTION("""COMPUTED_VALUE"""),"GLAD")</f>
        <v>GLAD</v>
      </c>
    </row>
    <row r="1630">
      <c r="A1630" s="1" t="str">
        <f>IFERROR(__xludf.DUMMYFUNCTION("""COMPUTED_VALUE"""),"GLADL")</f>
        <v>GLADL</v>
      </c>
    </row>
    <row r="1631">
      <c r="A1631" s="1" t="str">
        <f>IFERROR(__xludf.DUMMYFUNCTION("""COMPUTED_VALUE"""),"GLAQ")</f>
        <v>GLAQ</v>
      </c>
    </row>
    <row r="1632">
      <c r="A1632" s="1" t="str">
        <f>IFERROR(__xludf.DUMMYFUNCTION("""COMPUTED_VALUE"""),"GLAQU")</f>
        <v>GLAQU</v>
      </c>
    </row>
    <row r="1633">
      <c r="A1633" s="1" t="str">
        <f>IFERROR(__xludf.DUMMYFUNCTION("""COMPUTED_VALUE"""),"GLAQW")</f>
        <v>GLAQW</v>
      </c>
    </row>
    <row r="1634">
      <c r="A1634" s="1" t="str">
        <f>IFERROR(__xludf.DUMMYFUNCTION("""COMPUTED_VALUE"""),"GLBE")</f>
        <v>GLBE</v>
      </c>
    </row>
    <row r="1635">
      <c r="A1635" s="1" t="str">
        <f>IFERROR(__xludf.DUMMYFUNCTION("""COMPUTED_VALUE"""),"GLBL")</f>
        <v>GLBL</v>
      </c>
    </row>
    <row r="1636">
      <c r="A1636" s="1" t="str">
        <f>IFERROR(__xludf.DUMMYFUNCTION("""COMPUTED_VALUE"""),"GLBLU")</f>
        <v>GLBLU</v>
      </c>
    </row>
    <row r="1637">
      <c r="A1637" s="1" t="str">
        <f>IFERROR(__xludf.DUMMYFUNCTION("""COMPUTED_VALUE"""),"GLBLW")</f>
        <v>GLBLW</v>
      </c>
    </row>
    <row r="1638">
      <c r="A1638" s="1" t="str">
        <f>IFERROR(__xludf.DUMMYFUNCTION("""COMPUTED_VALUE"""),"GLBS")</f>
        <v>GLBS</v>
      </c>
    </row>
    <row r="1639">
      <c r="A1639" s="1" t="str">
        <f>IFERROR(__xludf.DUMMYFUNCTION("""COMPUTED_VALUE"""),"GLBZ")</f>
        <v>GLBZ</v>
      </c>
    </row>
    <row r="1640">
      <c r="A1640" s="1" t="str">
        <f>IFERROR(__xludf.DUMMYFUNCTION("""COMPUTED_VALUE"""),"GLDD")</f>
        <v>GLDD</v>
      </c>
    </row>
    <row r="1641">
      <c r="A1641" s="1" t="str">
        <f>IFERROR(__xludf.DUMMYFUNCTION("""COMPUTED_VALUE"""),"GLEEU")</f>
        <v>GLEEU</v>
      </c>
    </row>
    <row r="1642">
      <c r="A1642" s="1" t="str">
        <f>IFERROR(__xludf.DUMMYFUNCTION("""COMPUTED_VALUE"""),"GLG")</f>
        <v>GLG</v>
      </c>
    </row>
    <row r="1643">
      <c r="A1643" s="1" t="str">
        <f>IFERROR(__xludf.DUMMYFUNCTION("""COMPUTED_VALUE"""),"GLHA")</f>
        <v>GLHA</v>
      </c>
    </row>
    <row r="1644">
      <c r="A1644" s="1" t="str">
        <f>IFERROR(__xludf.DUMMYFUNCTION("""COMPUTED_VALUE"""),"GLHAU")</f>
        <v>GLHAU</v>
      </c>
    </row>
    <row r="1645">
      <c r="A1645" s="1" t="str">
        <f>IFERROR(__xludf.DUMMYFUNCTION("""COMPUTED_VALUE"""),"GLHAW")</f>
        <v>GLHAW</v>
      </c>
    </row>
    <row r="1646">
      <c r="A1646" s="1" t="str">
        <f>IFERROR(__xludf.DUMMYFUNCTION("""COMPUTED_VALUE"""),"GLMD")</f>
        <v>GLMD</v>
      </c>
    </row>
    <row r="1647">
      <c r="A1647" s="1" t="str">
        <f>IFERROR(__xludf.DUMMYFUNCTION("""COMPUTED_VALUE"""),"GLNG")</f>
        <v>GLNG</v>
      </c>
    </row>
    <row r="1648">
      <c r="A1648" s="1" t="str">
        <f>IFERROR(__xludf.DUMMYFUNCTION("""COMPUTED_VALUE"""),"GLPG")</f>
        <v>GLPG</v>
      </c>
    </row>
    <row r="1649">
      <c r="A1649" s="1" t="str">
        <f>IFERROR(__xludf.DUMMYFUNCTION("""COMPUTED_VALUE"""),"GLPI")</f>
        <v>GLPI</v>
      </c>
    </row>
    <row r="1650">
      <c r="A1650" s="1" t="str">
        <f>IFERROR(__xludf.DUMMYFUNCTION("""COMPUTED_VALUE"""),"GLRE")</f>
        <v>GLRE</v>
      </c>
    </row>
    <row r="1651">
      <c r="A1651" s="1" t="str">
        <f>IFERROR(__xludf.DUMMYFUNCTION("""COMPUTED_VALUE"""),"GLSI")</f>
        <v>GLSI</v>
      </c>
    </row>
    <row r="1652">
      <c r="A1652" s="1" t="str">
        <f>IFERROR(__xludf.DUMMYFUNCTION("""COMPUTED_VALUE"""),"GLSPT")</f>
        <v>GLSPT</v>
      </c>
    </row>
    <row r="1653">
      <c r="A1653" s="1" t="str">
        <f>IFERROR(__xludf.DUMMYFUNCTION("""COMPUTED_VALUE"""),"GLSPU")</f>
        <v>GLSPU</v>
      </c>
    </row>
    <row r="1654">
      <c r="A1654" s="1" t="str">
        <f>IFERROR(__xludf.DUMMYFUNCTION("""COMPUTED_VALUE"""),"GLSPW")</f>
        <v>GLSPW</v>
      </c>
    </row>
    <row r="1655">
      <c r="A1655" s="1" t="str">
        <f>IFERROR(__xludf.DUMMYFUNCTION("""COMPUTED_VALUE"""),"GLTO")</f>
        <v>GLTO</v>
      </c>
    </row>
    <row r="1656">
      <c r="A1656" s="1" t="str">
        <f>IFERROR(__xludf.DUMMYFUNCTION("""COMPUTED_VALUE"""),"GLUE")</f>
        <v>GLUE</v>
      </c>
    </row>
    <row r="1657">
      <c r="A1657" s="1" t="str">
        <f>IFERROR(__xludf.DUMMYFUNCTION("""COMPUTED_VALUE"""),"GLYC")</f>
        <v>GLYC</v>
      </c>
    </row>
    <row r="1658">
      <c r="A1658" s="1" t="str">
        <f>IFERROR(__xludf.DUMMYFUNCTION("""COMPUTED_VALUE"""),"GMAB")</f>
        <v>GMAB</v>
      </c>
    </row>
    <row r="1659">
      <c r="A1659" s="1" t="str">
        <f>IFERROR(__xludf.DUMMYFUNCTION("""COMPUTED_VALUE"""),"GMBL")</f>
        <v>GMBL</v>
      </c>
    </row>
    <row r="1660">
      <c r="A1660" s="1" t="str">
        <f>IFERROR(__xludf.DUMMYFUNCTION("""COMPUTED_VALUE"""),"GMBLW")</f>
        <v>GMBLW</v>
      </c>
    </row>
    <row r="1661">
      <c r="A1661" s="1" t="str">
        <f>IFERROR(__xludf.DUMMYFUNCTION("""COMPUTED_VALUE"""),"GMBT")</f>
        <v>GMBT</v>
      </c>
    </row>
    <row r="1662">
      <c r="A1662" s="1" t="str">
        <f>IFERROR(__xludf.DUMMYFUNCTION("""COMPUTED_VALUE"""),"GMBTU")</f>
        <v>GMBTU</v>
      </c>
    </row>
    <row r="1663">
      <c r="A1663" s="1" t="str">
        <f>IFERROR(__xludf.DUMMYFUNCTION("""COMPUTED_VALUE"""),"GMBTW")</f>
        <v>GMBTW</v>
      </c>
    </row>
    <row r="1664">
      <c r="A1664" s="1" t="str">
        <f>IFERROR(__xludf.DUMMYFUNCTION("""COMPUTED_VALUE"""),"GMDA")</f>
        <v>GMDA</v>
      </c>
    </row>
    <row r="1665">
      <c r="A1665" s="1" t="str">
        <f>IFERROR(__xludf.DUMMYFUNCTION("""COMPUTED_VALUE"""),"GMII")</f>
        <v>GMII</v>
      </c>
    </row>
    <row r="1666">
      <c r="A1666" s="1" t="str">
        <f>IFERROR(__xludf.DUMMYFUNCTION("""COMPUTED_VALUE"""),"GMIIU")</f>
        <v>GMIIU</v>
      </c>
    </row>
    <row r="1667">
      <c r="A1667" s="1" t="str">
        <f>IFERROR(__xludf.DUMMYFUNCTION("""COMPUTED_VALUE"""),"GMIIW")</f>
        <v>GMIIW</v>
      </c>
    </row>
    <row r="1668">
      <c r="A1668" s="1" t="str">
        <f>IFERROR(__xludf.DUMMYFUNCTION("""COMPUTED_VALUE"""),"GMTX")</f>
        <v>GMTX</v>
      </c>
    </row>
    <row r="1669">
      <c r="A1669" s="1" t="str">
        <f>IFERROR(__xludf.DUMMYFUNCTION("""COMPUTED_VALUE"""),"GMVD")</f>
        <v>GMVD</v>
      </c>
    </row>
    <row r="1670">
      <c r="A1670" s="1" t="str">
        <f>IFERROR(__xludf.DUMMYFUNCTION("""COMPUTED_VALUE"""),"GMVDW")</f>
        <v>GMVDW</v>
      </c>
    </row>
    <row r="1671">
      <c r="A1671" s="1" t="str">
        <f>IFERROR(__xludf.DUMMYFUNCTION("""COMPUTED_VALUE"""),"GNAC")</f>
        <v>GNAC</v>
      </c>
    </row>
    <row r="1672">
      <c r="A1672" s="1" t="str">
        <f>IFERROR(__xludf.DUMMYFUNCTION("""COMPUTED_VALUE"""),"GNACU")</f>
        <v>GNACU</v>
      </c>
    </row>
    <row r="1673">
      <c r="A1673" s="1" t="str">
        <f>IFERROR(__xludf.DUMMYFUNCTION("""COMPUTED_VALUE"""),"GNACW")</f>
        <v>GNACW</v>
      </c>
    </row>
    <row r="1674">
      <c r="A1674" s="1" t="str">
        <f>IFERROR(__xludf.DUMMYFUNCTION("""COMPUTED_VALUE"""),"GNCA")</f>
        <v>GNCA</v>
      </c>
    </row>
    <row r="1675">
      <c r="A1675" s="1" t="str">
        <f>IFERROR(__xludf.DUMMYFUNCTION("""COMPUTED_VALUE"""),"GNFT")</f>
        <v>GNFT</v>
      </c>
    </row>
    <row r="1676">
      <c r="A1676" s="1" t="str">
        <f>IFERROR(__xludf.DUMMYFUNCTION("""COMPUTED_VALUE"""),"GNLN")</f>
        <v>GNLN</v>
      </c>
    </row>
    <row r="1677">
      <c r="A1677" s="1" t="str">
        <f>IFERROR(__xludf.DUMMYFUNCTION("""COMPUTED_VALUE"""),"GNOG")</f>
        <v>GNOG</v>
      </c>
    </row>
    <row r="1678">
      <c r="A1678" s="1" t="str">
        <f>IFERROR(__xludf.DUMMYFUNCTION("""COMPUTED_VALUE"""),"GNPX")</f>
        <v>GNPX</v>
      </c>
    </row>
    <row r="1679">
      <c r="A1679" s="1" t="str">
        <f>IFERROR(__xludf.DUMMYFUNCTION("""COMPUTED_VALUE"""),"GNSS")</f>
        <v>GNSS</v>
      </c>
    </row>
    <row r="1680">
      <c r="A1680" s="1" t="str">
        <f>IFERROR(__xludf.DUMMYFUNCTION("""COMPUTED_VALUE"""),"GNTX")</f>
        <v>GNTX</v>
      </c>
    </row>
    <row r="1681">
      <c r="A1681" s="1" t="str">
        <f>IFERROR(__xludf.DUMMYFUNCTION("""COMPUTED_VALUE"""),"GNTY")</f>
        <v>GNTY</v>
      </c>
    </row>
    <row r="1682">
      <c r="A1682" s="1" t="str">
        <f>IFERROR(__xludf.DUMMYFUNCTION("""COMPUTED_VALUE"""),"GNUS")</f>
        <v>GNUS</v>
      </c>
    </row>
    <row r="1683">
      <c r="A1683" s="1" t="str">
        <f>IFERROR(__xludf.DUMMYFUNCTION("""COMPUTED_VALUE"""),"GO")</f>
        <v>GO</v>
      </c>
    </row>
    <row r="1684">
      <c r="A1684" s="1" t="str">
        <f>IFERROR(__xludf.DUMMYFUNCTION("""COMPUTED_VALUE"""),"GOBI")</f>
        <v>GOBI</v>
      </c>
    </row>
    <row r="1685">
      <c r="A1685" s="1" t="str">
        <f>IFERROR(__xludf.DUMMYFUNCTION("""COMPUTED_VALUE"""),"GOCO")</f>
        <v>GOCO</v>
      </c>
    </row>
    <row r="1686">
      <c r="A1686" s="1" t="str">
        <f>IFERROR(__xludf.DUMMYFUNCTION("""COMPUTED_VALUE"""),"GOEV")</f>
        <v>GOEV</v>
      </c>
    </row>
    <row r="1687">
      <c r="A1687" s="1" t="str">
        <f>IFERROR(__xludf.DUMMYFUNCTION("""COMPUTED_VALUE"""),"GOEVW")</f>
        <v>GOEVW</v>
      </c>
    </row>
    <row r="1688">
      <c r="A1688" s="1" t="str">
        <f>IFERROR(__xludf.DUMMYFUNCTION("""COMPUTED_VALUE"""),"GOGL")</f>
        <v>GOGL</v>
      </c>
    </row>
    <row r="1689">
      <c r="A1689" s="1" t="str">
        <f>IFERROR(__xludf.DUMMYFUNCTION("""COMPUTED_VALUE"""),"GOGO")</f>
        <v>GOGO</v>
      </c>
    </row>
    <row r="1690">
      <c r="A1690" s="1" t="str">
        <f>IFERROR(__xludf.DUMMYFUNCTION("""COMPUTED_VALUE"""),"GOOD")</f>
        <v>GOOD</v>
      </c>
    </row>
    <row r="1691">
      <c r="A1691" s="1" t="str">
        <f>IFERROR(__xludf.DUMMYFUNCTION("""COMPUTED_VALUE"""),"GOODN")</f>
        <v>GOODN</v>
      </c>
    </row>
    <row r="1692">
      <c r="A1692" s="1" t="str">
        <f>IFERROR(__xludf.DUMMYFUNCTION("""COMPUTED_VALUE"""),"GOODO")</f>
        <v>GOODO</v>
      </c>
    </row>
    <row r="1693">
      <c r="A1693" s="1" t="str">
        <f>IFERROR(__xludf.DUMMYFUNCTION("""COMPUTED_VALUE"""),"GOOG")</f>
        <v>GOOG</v>
      </c>
    </row>
    <row r="1694">
      <c r="A1694" s="1" t="str">
        <f>IFERROR(__xludf.DUMMYFUNCTION("""COMPUTED_VALUE"""),"GOOGL")</f>
        <v>GOOGL</v>
      </c>
    </row>
    <row r="1695">
      <c r="A1695" s="1" t="str">
        <f>IFERROR(__xludf.DUMMYFUNCTION("""COMPUTED_VALUE"""),"GOSS")</f>
        <v>GOSS</v>
      </c>
    </row>
    <row r="1696">
      <c r="A1696" s="1" t="str">
        <f>IFERROR(__xludf.DUMMYFUNCTION("""COMPUTED_VALUE"""),"GOVX")</f>
        <v>GOVX</v>
      </c>
    </row>
    <row r="1697">
      <c r="A1697" s="1" t="str">
        <f>IFERROR(__xludf.DUMMYFUNCTION("""COMPUTED_VALUE"""),"GOVXW")</f>
        <v>GOVXW</v>
      </c>
    </row>
    <row r="1698">
      <c r="A1698" s="1" t="str">
        <f>IFERROR(__xludf.DUMMYFUNCTION("""COMPUTED_VALUE"""),"GP")</f>
        <v>GP</v>
      </c>
    </row>
    <row r="1699">
      <c r="A1699" s="1" t="str">
        <f>IFERROR(__xludf.DUMMYFUNCTION("""COMPUTED_VALUE"""),"GPAC")</f>
        <v>GPAC</v>
      </c>
    </row>
    <row r="1700">
      <c r="A1700" s="1" t="str">
        <f>IFERROR(__xludf.DUMMYFUNCTION("""COMPUTED_VALUE"""),"GPACU")</f>
        <v>GPACU</v>
      </c>
    </row>
    <row r="1701">
      <c r="A1701" s="1" t="str">
        <f>IFERROR(__xludf.DUMMYFUNCTION("""COMPUTED_VALUE"""),"GPACW")</f>
        <v>GPACW</v>
      </c>
    </row>
    <row r="1702">
      <c r="A1702" s="1" t="str">
        <f>IFERROR(__xludf.DUMMYFUNCTION("""COMPUTED_VALUE"""),"GPCOR")</f>
        <v>GPCOR</v>
      </c>
    </row>
    <row r="1703">
      <c r="A1703" s="1" t="str">
        <f>IFERROR(__xludf.DUMMYFUNCTION("""COMPUTED_VALUE"""),"GPCOW")</f>
        <v>GPCOW</v>
      </c>
    </row>
    <row r="1704">
      <c r="A1704" s="1" t="str">
        <f>IFERROR(__xludf.DUMMYFUNCTION("""COMPUTED_VALUE"""),"GPP")</f>
        <v>GPP</v>
      </c>
    </row>
    <row r="1705">
      <c r="A1705" s="1" t="str">
        <f>IFERROR(__xludf.DUMMYFUNCTION("""COMPUTED_VALUE"""),"GPRE")</f>
        <v>GPRE</v>
      </c>
    </row>
    <row r="1706">
      <c r="A1706" s="1" t="str">
        <f>IFERROR(__xludf.DUMMYFUNCTION("""COMPUTED_VALUE"""),"GPRO")</f>
        <v>GPRO</v>
      </c>
    </row>
    <row r="1707">
      <c r="A1707" s="1" t="str">
        <f>IFERROR(__xludf.DUMMYFUNCTION("""COMPUTED_VALUE"""),"GRAY")</f>
        <v>GRAY</v>
      </c>
    </row>
    <row r="1708">
      <c r="A1708" s="1" t="str">
        <f>IFERROR(__xludf.DUMMYFUNCTION("""COMPUTED_VALUE"""),"GRBK")</f>
        <v>GRBK</v>
      </c>
    </row>
    <row r="1709">
      <c r="A1709" s="1" t="str">
        <f>IFERROR(__xludf.DUMMYFUNCTION("""COMPUTED_VALUE"""),"GRCL")</f>
        <v>GRCL</v>
      </c>
    </row>
    <row r="1710">
      <c r="A1710" s="1" t="str">
        <f>IFERROR(__xludf.DUMMYFUNCTION("""COMPUTED_VALUE"""),"GRCYW")</f>
        <v>GRCYW</v>
      </c>
    </row>
    <row r="1711">
      <c r="A1711" s="1" t="str">
        <f>IFERROR(__xludf.DUMMYFUNCTION("""COMPUTED_VALUE"""),"GRFS")</f>
        <v>GRFS</v>
      </c>
    </row>
    <row r="1712">
      <c r="A1712" s="1" t="str">
        <f>IFERROR(__xludf.DUMMYFUNCTION("""COMPUTED_VALUE"""),"GRIL")</f>
        <v>GRIL</v>
      </c>
    </row>
    <row r="1713">
      <c r="A1713" s="1" t="str">
        <f>IFERROR(__xludf.DUMMYFUNCTION("""COMPUTED_VALUE"""),"GRIN")</f>
        <v>GRIN</v>
      </c>
    </row>
    <row r="1714">
      <c r="A1714" s="1" t="str">
        <f>IFERROR(__xludf.DUMMYFUNCTION("""COMPUTED_VALUE"""),"GRMN")</f>
        <v>GRMN</v>
      </c>
    </row>
    <row r="1715">
      <c r="A1715" s="1" t="str">
        <f>IFERROR(__xludf.DUMMYFUNCTION("""COMPUTED_VALUE"""),"GRNQ")</f>
        <v>GRNQ</v>
      </c>
    </row>
    <row r="1716">
      <c r="A1716" s="1" t="str">
        <f>IFERROR(__xludf.DUMMYFUNCTION("""COMPUTED_VALUE"""),"GRNV")</f>
        <v>GRNV</v>
      </c>
    </row>
    <row r="1717">
      <c r="A1717" s="1" t="str">
        <f>IFERROR(__xludf.DUMMYFUNCTION("""COMPUTED_VALUE"""),"GRNVR")</f>
        <v>GRNVR</v>
      </c>
    </row>
    <row r="1718">
      <c r="A1718" s="1" t="str">
        <f>IFERROR(__xludf.DUMMYFUNCTION("""COMPUTED_VALUE"""),"GRNVW")</f>
        <v>GRNVW</v>
      </c>
    </row>
    <row r="1719">
      <c r="A1719" s="1" t="str">
        <f>IFERROR(__xludf.DUMMYFUNCTION("""COMPUTED_VALUE"""),"GROM")</f>
        <v>GROM</v>
      </c>
    </row>
    <row r="1720">
      <c r="A1720" s="1" t="str">
        <f>IFERROR(__xludf.DUMMYFUNCTION("""COMPUTED_VALUE"""),"GROMW")</f>
        <v>GROMW</v>
      </c>
    </row>
    <row r="1721">
      <c r="A1721" s="1" t="str">
        <f>IFERROR(__xludf.DUMMYFUNCTION("""COMPUTED_VALUE"""),"GROW")</f>
        <v>GROW</v>
      </c>
    </row>
    <row r="1722">
      <c r="A1722" s="1" t="str">
        <f>IFERROR(__xludf.DUMMYFUNCTION("""COMPUTED_VALUE"""),"GRPH")</f>
        <v>GRPH</v>
      </c>
    </row>
    <row r="1723">
      <c r="A1723" s="1" t="str">
        <f>IFERROR(__xludf.DUMMYFUNCTION("""COMPUTED_VALUE"""),"GRPN")</f>
        <v>GRPN</v>
      </c>
    </row>
    <row r="1724">
      <c r="A1724" s="1" t="str">
        <f>IFERROR(__xludf.DUMMYFUNCTION("""COMPUTED_VALUE"""),"GRTS")</f>
        <v>GRTS</v>
      </c>
    </row>
    <row r="1725">
      <c r="A1725" s="1" t="str">
        <f>IFERROR(__xludf.DUMMYFUNCTION("""COMPUTED_VALUE"""),"GRTX")</f>
        <v>GRTX</v>
      </c>
    </row>
    <row r="1726">
      <c r="A1726" s="1" t="str">
        <f>IFERROR(__xludf.DUMMYFUNCTION("""COMPUTED_VALUE"""),"GRUB")</f>
        <v>GRUB</v>
      </c>
    </row>
    <row r="1727">
      <c r="A1727" s="1" t="str">
        <f>IFERROR(__xludf.DUMMYFUNCTION("""COMPUTED_VALUE"""),"GRVI")</f>
        <v>GRVI</v>
      </c>
    </row>
    <row r="1728">
      <c r="A1728" s="1" t="str">
        <f>IFERROR(__xludf.DUMMYFUNCTION("""COMPUTED_VALUE"""),"GRVY")</f>
        <v>GRVY</v>
      </c>
    </row>
    <row r="1729">
      <c r="A1729" s="1" t="str">
        <f>IFERROR(__xludf.DUMMYFUNCTION("""COMPUTED_VALUE"""),"GRWG")</f>
        <v>GRWG</v>
      </c>
    </row>
    <row r="1730">
      <c r="A1730" s="1" t="str">
        <f>IFERROR(__xludf.DUMMYFUNCTION("""COMPUTED_VALUE"""),"GSAQ")</f>
        <v>GSAQ</v>
      </c>
    </row>
    <row r="1731">
      <c r="A1731" s="1" t="str">
        <f>IFERROR(__xludf.DUMMYFUNCTION("""COMPUTED_VALUE"""),"GSAQU")</f>
        <v>GSAQU</v>
      </c>
    </row>
    <row r="1732">
      <c r="A1732" s="1" t="str">
        <f>IFERROR(__xludf.DUMMYFUNCTION("""COMPUTED_VALUE"""),"GSAQW")</f>
        <v>GSAQW</v>
      </c>
    </row>
    <row r="1733">
      <c r="A1733" s="1" t="str">
        <f>IFERROR(__xludf.DUMMYFUNCTION("""COMPUTED_VALUE"""),"GSBC")</f>
        <v>GSBC</v>
      </c>
    </row>
    <row r="1734">
      <c r="A1734" s="1" t="str">
        <f>IFERROR(__xludf.DUMMYFUNCTION("""COMPUTED_VALUE"""),"GSEV")</f>
        <v>GSEV</v>
      </c>
    </row>
    <row r="1735">
      <c r="A1735" s="1" t="str">
        <f>IFERROR(__xludf.DUMMYFUNCTION("""COMPUTED_VALUE"""),"GSEVU")</f>
        <v>GSEVU</v>
      </c>
    </row>
    <row r="1736">
      <c r="A1736" s="1" t="str">
        <f>IFERROR(__xludf.DUMMYFUNCTION("""COMPUTED_VALUE"""),"GSEVW")</f>
        <v>GSEVW</v>
      </c>
    </row>
    <row r="1737">
      <c r="A1737" s="1" t="str">
        <f>IFERROR(__xludf.DUMMYFUNCTION("""COMPUTED_VALUE"""),"GSHD")</f>
        <v>GSHD</v>
      </c>
    </row>
    <row r="1738">
      <c r="A1738" s="1" t="str">
        <f>IFERROR(__xludf.DUMMYFUNCTION("""COMPUTED_VALUE"""),"GSIT")</f>
        <v>GSIT</v>
      </c>
    </row>
    <row r="1739">
      <c r="A1739" s="1" t="str">
        <f>IFERROR(__xludf.DUMMYFUNCTION("""COMPUTED_VALUE"""),"GSKY")</f>
        <v>GSKY</v>
      </c>
    </row>
    <row r="1740">
      <c r="A1740" s="1" t="str">
        <f>IFERROR(__xludf.DUMMYFUNCTION("""COMPUTED_VALUE"""),"GSM")</f>
        <v>GSM</v>
      </c>
    </row>
    <row r="1741">
      <c r="A1741" s="1" t="str">
        <f>IFERROR(__xludf.DUMMYFUNCTION("""COMPUTED_VALUE"""),"GSMG")</f>
        <v>GSMG</v>
      </c>
    </row>
    <row r="1742">
      <c r="A1742" s="1" t="str">
        <f>IFERROR(__xludf.DUMMYFUNCTION("""COMPUTED_VALUE"""),"GSMGW")</f>
        <v>GSMGW</v>
      </c>
    </row>
    <row r="1743">
      <c r="A1743" s="1" t="str">
        <f>IFERROR(__xludf.DUMMYFUNCTION("""COMPUTED_VALUE"""),"GT")</f>
        <v>GT</v>
      </c>
    </row>
    <row r="1744">
      <c r="A1744" s="1" t="str">
        <f>IFERROR(__xludf.DUMMYFUNCTION("""COMPUTED_VALUE"""),"GTBP")</f>
        <v>GTBP</v>
      </c>
    </row>
    <row r="1745">
      <c r="A1745" s="1" t="str">
        <f>IFERROR(__xludf.DUMMYFUNCTION("""COMPUTED_VALUE"""),"GTEC")</f>
        <v>GTEC</v>
      </c>
    </row>
    <row r="1746">
      <c r="A1746" s="1" t="str">
        <f>IFERROR(__xludf.DUMMYFUNCTION("""COMPUTED_VALUE"""),"GTH")</f>
        <v>GTH</v>
      </c>
    </row>
    <row r="1747">
      <c r="A1747" s="1" t="str">
        <f>IFERROR(__xludf.DUMMYFUNCTION("""COMPUTED_VALUE"""),"GTHX")</f>
        <v>GTHX</v>
      </c>
    </row>
    <row r="1748">
      <c r="A1748" s="1" t="str">
        <f>IFERROR(__xludf.DUMMYFUNCTION("""COMPUTED_VALUE"""),"GTIM")</f>
        <v>GTIM</v>
      </c>
    </row>
    <row r="1749">
      <c r="A1749" s="1" t="str">
        <f>IFERROR(__xludf.DUMMYFUNCTION("""COMPUTED_VALUE"""),"GTPA")</f>
        <v>GTPA</v>
      </c>
    </row>
    <row r="1750">
      <c r="A1750" s="1" t="str">
        <f>IFERROR(__xludf.DUMMYFUNCTION("""COMPUTED_VALUE"""),"GTPAU")</f>
        <v>GTPAU</v>
      </c>
    </row>
    <row r="1751">
      <c r="A1751" s="1" t="str">
        <f>IFERROR(__xludf.DUMMYFUNCTION("""COMPUTED_VALUE"""),"GTPAW")</f>
        <v>GTPAW</v>
      </c>
    </row>
    <row r="1752">
      <c r="A1752" s="1" t="str">
        <f>IFERROR(__xludf.DUMMYFUNCTION("""COMPUTED_VALUE"""),"GTPB")</f>
        <v>GTPB</v>
      </c>
    </row>
    <row r="1753">
      <c r="A1753" s="1" t="str">
        <f>IFERROR(__xludf.DUMMYFUNCTION("""COMPUTED_VALUE"""),"GTPBW")</f>
        <v>GTPBW</v>
      </c>
    </row>
    <row r="1754">
      <c r="A1754" s="1" t="str">
        <f>IFERROR(__xludf.DUMMYFUNCTION("""COMPUTED_VALUE"""),"GTX")</f>
        <v>GTX</v>
      </c>
    </row>
    <row r="1755">
      <c r="A1755" s="1" t="str">
        <f>IFERROR(__xludf.DUMMYFUNCTION("""COMPUTED_VALUE"""),"GTYH")</f>
        <v>GTYH</v>
      </c>
    </row>
    <row r="1756">
      <c r="A1756" s="1" t="str">
        <f>IFERROR(__xludf.DUMMYFUNCTION("""COMPUTED_VALUE"""),"GURE")</f>
        <v>GURE</v>
      </c>
    </row>
    <row r="1757">
      <c r="A1757" s="1" t="str">
        <f>IFERROR(__xludf.DUMMYFUNCTION("""COMPUTED_VALUE"""),"GVP")</f>
        <v>GVP</v>
      </c>
    </row>
    <row r="1758">
      <c r="A1758" s="1" t="str">
        <f>IFERROR(__xludf.DUMMYFUNCTION("""COMPUTED_VALUE"""),"GWAC")</f>
        <v>GWAC</v>
      </c>
    </row>
    <row r="1759">
      <c r="A1759" s="1" t="str">
        <f>IFERROR(__xludf.DUMMYFUNCTION("""COMPUTED_VALUE"""),"GWACW")</f>
        <v>GWACW</v>
      </c>
    </row>
    <row r="1760">
      <c r="A1760" s="1" t="str">
        <f>IFERROR(__xludf.DUMMYFUNCTION("""COMPUTED_VALUE"""),"GWGH")</f>
        <v>GWGH</v>
      </c>
    </row>
    <row r="1761">
      <c r="A1761" s="1" t="str">
        <f>IFERROR(__xludf.DUMMYFUNCTION("""COMPUTED_VALUE"""),"GWIIU")</f>
        <v>GWIIU</v>
      </c>
    </row>
    <row r="1762">
      <c r="A1762" s="1" t="str">
        <f>IFERROR(__xludf.DUMMYFUNCTION("""COMPUTED_VALUE"""),"GWRS")</f>
        <v>GWRS</v>
      </c>
    </row>
    <row r="1763">
      <c r="A1763" s="1" t="str">
        <f>IFERROR(__xludf.DUMMYFUNCTION("""COMPUTED_VALUE"""),"GXII")</f>
        <v>GXII</v>
      </c>
    </row>
    <row r="1764">
      <c r="A1764" s="1" t="str">
        <f>IFERROR(__xludf.DUMMYFUNCTION("""COMPUTED_VALUE"""),"GXIIU")</f>
        <v>GXIIU</v>
      </c>
    </row>
    <row r="1765">
      <c r="A1765" s="1" t="str">
        <f>IFERROR(__xludf.DUMMYFUNCTION("""COMPUTED_VALUE"""),"GXIIW")</f>
        <v>GXIIW</v>
      </c>
    </row>
    <row r="1766">
      <c r="A1766" s="1" t="str">
        <f>IFERROR(__xludf.DUMMYFUNCTION("""COMPUTED_VALUE"""),"GYRO")</f>
        <v>GYRO</v>
      </c>
    </row>
    <row r="1767">
      <c r="A1767" s="1" t="str">
        <f>IFERROR(__xludf.DUMMYFUNCTION("""COMPUTED_VALUE"""),"HA")</f>
        <v>HA</v>
      </c>
    </row>
    <row r="1768">
      <c r="A1768" s="1" t="str">
        <f>IFERROR(__xludf.DUMMYFUNCTION("""COMPUTED_VALUE"""),"HAAC")</f>
        <v>HAAC</v>
      </c>
    </row>
    <row r="1769">
      <c r="A1769" s="1" t="str">
        <f>IFERROR(__xludf.DUMMYFUNCTION("""COMPUTED_VALUE"""),"HAACU")</f>
        <v>HAACU</v>
      </c>
    </row>
    <row r="1770">
      <c r="A1770" s="1" t="str">
        <f>IFERROR(__xludf.DUMMYFUNCTION("""COMPUTED_VALUE"""),"HAACW")</f>
        <v>HAACW</v>
      </c>
    </row>
    <row r="1771">
      <c r="A1771" s="1" t="str">
        <f>IFERROR(__xludf.DUMMYFUNCTION("""COMPUTED_VALUE"""),"HAFC")</f>
        <v>HAFC</v>
      </c>
    </row>
    <row r="1772">
      <c r="A1772" s="1" t="str">
        <f>IFERROR(__xludf.DUMMYFUNCTION("""COMPUTED_VALUE"""),"HAIN")</f>
        <v>HAIN</v>
      </c>
    </row>
    <row r="1773">
      <c r="A1773" s="1" t="str">
        <f>IFERROR(__xludf.DUMMYFUNCTION("""COMPUTED_VALUE"""),"HALL")</f>
        <v>HALL</v>
      </c>
    </row>
    <row r="1774">
      <c r="A1774" s="1" t="str">
        <f>IFERROR(__xludf.DUMMYFUNCTION("""COMPUTED_VALUE"""),"HALO")</f>
        <v>HALO</v>
      </c>
    </row>
    <row r="1775">
      <c r="A1775" s="1" t="str">
        <f>IFERROR(__xludf.DUMMYFUNCTION("""COMPUTED_VALUE"""),"HAPP")</f>
        <v>HAPP</v>
      </c>
    </row>
    <row r="1776">
      <c r="A1776" s="1" t="str">
        <f>IFERROR(__xludf.DUMMYFUNCTION("""COMPUTED_VALUE"""),"HARP")</f>
        <v>HARP</v>
      </c>
    </row>
    <row r="1777">
      <c r="A1777" s="1" t="str">
        <f>IFERROR(__xludf.DUMMYFUNCTION("""COMPUTED_VALUE"""),"HAS")</f>
        <v>HAS</v>
      </c>
    </row>
    <row r="1778">
      <c r="A1778" s="1" t="str">
        <f>IFERROR(__xludf.DUMMYFUNCTION("""COMPUTED_VALUE"""),"HAYN")</f>
        <v>HAYN</v>
      </c>
    </row>
    <row r="1779">
      <c r="A1779" s="1" t="str">
        <f>IFERROR(__xludf.DUMMYFUNCTION("""COMPUTED_VALUE"""),"HBAN")</f>
        <v>HBAN</v>
      </c>
    </row>
    <row r="1780">
      <c r="A1780" s="1" t="str">
        <f>IFERROR(__xludf.DUMMYFUNCTION("""COMPUTED_VALUE"""),"HBANM")</f>
        <v>HBANM</v>
      </c>
    </row>
    <row r="1781">
      <c r="A1781" s="1" t="str">
        <f>IFERROR(__xludf.DUMMYFUNCTION("""COMPUTED_VALUE"""),"HBANN")</f>
        <v>HBANN</v>
      </c>
    </row>
    <row r="1782">
      <c r="A1782" s="1" t="str">
        <f>IFERROR(__xludf.DUMMYFUNCTION("""COMPUTED_VALUE"""),"HBANP")</f>
        <v>HBANP</v>
      </c>
    </row>
    <row r="1783">
      <c r="A1783" s="1" t="str">
        <f>IFERROR(__xludf.DUMMYFUNCTION("""COMPUTED_VALUE"""),"HBCP")</f>
        <v>HBCP</v>
      </c>
    </row>
    <row r="1784">
      <c r="A1784" s="1" t="str">
        <f>IFERROR(__xludf.DUMMYFUNCTION("""COMPUTED_VALUE"""),"HBIO")</f>
        <v>HBIO</v>
      </c>
    </row>
    <row r="1785">
      <c r="A1785" s="1" t="str">
        <f>IFERROR(__xludf.DUMMYFUNCTION("""COMPUTED_VALUE"""),"HBMD")</f>
        <v>HBMD</v>
      </c>
    </row>
    <row r="1786">
      <c r="A1786" s="1" t="str">
        <f>IFERROR(__xludf.DUMMYFUNCTION("""COMPUTED_VALUE"""),"HBNC")</f>
        <v>HBNC</v>
      </c>
    </row>
    <row r="1787">
      <c r="A1787" s="1" t="str">
        <f>IFERROR(__xludf.DUMMYFUNCTION("""COMPUTED_VALUE"""),"HBP")</f>
        <v>HBP</v>
      </c>
    </row>
    <row r="1788">
      <c r="A1788" s="1" t="str">
        <f>IFERROR(__xludf.DUMMYFUNCTION("""COMPUTED_VALUE"""),"HBT")</f>
        <v>HBT</v>
      </c>
    </row>
    <row r="1789">
      <c r="A1789" s="1" t="str">
        <f>IFERROR(__xludf.DUMMYFUNCTION("""COMPUTED_VALUE"""),"HCAQ")</f>
        <v>HCAQ</v>
      </c>
    </row>
    <row r="1790">
      <c r="A1790" s="1" t="str">
        <f>IFERROR(__xludf.DUMMYFUNCTION("""COMPUTED_VALUE"""),"HCAR")</f>
        <v>HCAR</v>
      </c>
    </row>
    <row r="1791">
      <c r="A1791" s="1" t="str">
        <f>IFERROR(__xludf.DUMMYFUNCTION("""COMPUTED_VALUE"""),"HCARU")</f>
        <v>HCARU</v>
      </c>
    </row>
    <row r="1792">
      <c r="A1792" s="1" t="str">
        <f>IFERROR(__xludf.DUMMYFUNCTION("""COMPUTED_VALUE"""),"HCARW")</f>
        <v>HCARW</v>
      </c>
    </row>
    <row r="1793">
      <c r="A1793" s="1" t="str">
        <f>IFERROR(__xludf.DUMMYFUNCTION("""COMPUTED_VALUE"""),"HCAT")</f>
        <v>HCAT</v>
      </c>
    </row>
    <row r="1794">
      <c r="A1794" s="1" t="str">
        <f>IFERROR(__xludf.DUMMYFUNCTION("""COMPUTED_VALUE"""),"HCCC")</f>
        <v>HCCC</v>
      </c>
    </row>
    <row r="1795">
      <c r="A1795" s="1" t="str">
        <f>IFERROR(__xludf.DUMMYFUNCTION("""COMPUTED_VALUE"""),"HCCCU")</f>
        <v>HCCCU</v>
      </c>
    </row>
    <row r="1796">
      <c r="A1796" s="1" t="str">
        <f>IFERROR(__xludf.DUMMYFUNCTION("""COMPUTED_VALUE"""),"HCCCW")</f>
        <v>HCCCW</v>
      </c>
    </row>
    <row r="1797">
      <c r="A1797" s="1" t="str">
        <f>IFERROR(__xludf.DUMMYFUNCTION("""COMPUTED_VALUE"""),"HCCI")</f>
        <v>HCCI</v>
      </c>
    </row>
    <row r="1798">
      <c r="A1798" s="1" t="str">
        <f>IFERROR(__xludf.DUMMYFUNCTION("""COMPUTED_VALUE"""),"HCDI")</f>
        <v>HCDI</v>
      </c>
    </row>
    <row r="1799">
      <c r="A1799" s="1" t="str">
        <f>IFERROR(__xludf.DUMMYFUNCTION("""COMPUTED_VALUE"""),"HCDIP")</f>
        <v>HCDIP</v>
      </c>
    </row>
    <row r="1800">
      <c r="A1800" s="1" t="str">
        <f>IFERROR(__xludf.DUMMYFUNCTION("""COMPUTED_VALUE"""),"HCDIW")</f>
        <v>HCDIW</v>
      </c>
    </row>
    <row r="1801">
      <c r="A1801" s="1" t="str">
        <f>IFERROR(__xludf.DUMMYFUNCTION("""COMPUTED_VALUE"""),"HCIC")</f>
        <v>HCIC</v>
      </c>
    </row>
    <row r="1802">
      <c r="A1802" s="1" t="str">
        <f>IFERROR(__xludf.DUMMYFUNCTION("""COMPUTED_VALUE"""),"HCICU")</f>
        <v>HCICU</v>
      </c>
    </row>
    <row r="1803">
      <c r="A1803" s="1" t="str">
        <f>IFERROR(__xludf.DUMMYFUNCTION("""COMPUTED_VALUE"""),"HCICW")</f>
        <v>HCICW</v>
      </c>
    </row>
    <row r="1804">
      <c r="A1804" s="1" t="str">
        <f>IFERROR(__xludf.DUMMYFUNCTION("""COMPUTED_VALUE"""),"HCII")</f>
        <v>HCII</v>
      </c>
    </row>
    <row r="1805">
      <c r="A1805" s="1" t="str">
        <f>IFERROR(__xludf.DUMMYFUNCTION("""COMPUTED_VALUE"""),"HCKT")</f>
        <v>HCKT</v>
      </c>
    </row>
    <row r="1806">
      <c r="A1806" s="1" t="str">
        <f>IFERROR(__xludf.DUMMYFUNCTION("""COMPUTED_VALUE"""),"HCM")</f>
        <v>HCM</v>
      </c>
    </row>
    <row r="1807">
      <c r="A1807" s="1" t="str">
        <f>IFERROR(__xludf.DUMMYFUNCTION("""COMPUTED_VALUE"""),"HCNE")</f>
        <v>HCNE</v>
      </c>
    </row>
    <row r="1808">
      <c r="A1808" s="1" t="str">
        <f>IFERROR(__xludf.DUMMYFUNCTION("""COMPUTED_VALUE"""),"HCNEU")</f>
        <v>HCNEU</v>
      </c>
    </row>
    <row r="1809">
      <c r="A1809" s="1" t="str">
        <f>IFERROR(__xludf.DUMMYFUNCTION("""COMPUTED_VALUE"""),"HCNEW")</f>
        <v>HCNEW</v>
      </c>
    </row>
    <row r="1810">
      <c r="A1810" s="1" t="str">
        <f>IFERROR(__xludf.DUMMYFUNCTION("""COMPUTED_VALUE"""),"HCSG")</f>
        <v>HCSG</v>
      </c>
    </row>
    <row r="1811">
      <c r="A1811" s="1" t="str">
        <f>IFERROR(__xludf.DUMMYFUNCTION("""COMPUTED_VALUE"""),"HCWB")</f>
        <v>HCWB</v>
      </c>
    </row>
    <row r="1812">
      <c r="A1812" s="1" t="str">
        <f>IFERROR(__xludf.DUMMYFUNCTION("""COMPUTED_VALUE"""),"HDSN")</f>
        <v>HDSN</v>
      </c>
    </row>
    <row r="1813">
      <c r="A1813" s="1" t="str">
        <f>IFERROR(__xludf.DUMMYFUNCTION("""COMPUTED_VALUE"""),"HEAR")</f>
        <v>HEAR</v>
      </c>
    </row>
    <row r="1814">
      <c r="A1814" s="1" t="str">
        <f>IFERROR(__xludf.DUMMYFUNCTION("""COMPUTED_VALUE"""),"HEES")</f>
        <v>HEES</v>
      </c>
    </row>
    <row r="1815">
      <c r="A1815" s="1" t="str">
        <f>IFERROR(__xludf.DUMMYFUNCTION("""COMPUTED_VALUE"""),"HELE")</f>
        <v>HELE</v>
      </c>
    </row>
    <row r="1816">
      <c r="A1816" s="1" t="str">
        <f>IFERROR(__xludf.DUMMYFUNCTION("""COMPUTED_VALUE"""),"HEPA")</f>
        <v>HEPA</v>
      </c>
    </row>
    <row r="1817">
      <c r="A1817" s="1" t="str">
        <f>IFERROR(__xludf.DUMMYFUNCTION("""COMPUTED_VALUE"""),"HEPS")</f>
        <v>HEPS</v>
      </c>
    </row>
    <row r="1818">
      <c r="A1818" s="1" t="str">
        <f>IFERROR(__xludf.DUMMYFUNCTION("""COMPUTED_VALUE"""),"HERA")</f>
        <v>HERA</v>
      </c>
    </row>
    <row r="1819">
      <c r="A1819" s="1" t="str">
        <f>IFERROR(__xludf.DUMMYFUNCTION("""COMPUTED_VALUE"""),"HERAU")</f>
        <v>HERAU</v>
      </c>
    </row>
    <row r="1820">
      <c r="A1820" s="1" t="str">
        <f>IFERROR(__xludf.DUMMYFUNCTION("""COMPUTED_VALUE"""),"HERAW")</f>
        <v>HERAW</v>
      </c>
    </row>
    <row r="1821">
      <c r="A1821" s="1" t="str">
        <f>IFERROR(__xludf.DUMMYFUNCTION("""COMPUTED_VALUE"""),"HFBL")</f>
        <v>HFBL</v>
      </c>
    </row>
    <row r="1822">
      <c r="A1822" s="1" t="str">
        <f>IFERROR(__xludf.DUMMYFUNCTION("""COMPUTED_VALUE"""),"HFFG")</f>
        <v>HFFG</v>
      </c>
    </row>
    <row r="1823">
      <c r="A1823" s="1" t="str">
        <f>IFERROR(__xludf.DUMMYFUNCTION("""COMPUTED_VALUE"""),"HFWA")</f>
        <v>HFWA</v>
      </c>
    </row>
    <row r="1824">
      <c r="A1824" s="1" t="str">
        <f>IFERROR(__xludf.DUMMYFUNCTION("""COMPUTED_VALUE"""),"HGBL")</f>
        <v>HGBL</v>
      </c>
    </row>
    <row r="1825">
      <c r="A1825" s="1" t="str">
        <f>IFERROR(__xludf.DUMMYFUNCTION("""COMPUTED_VALUE"""),"HGEN")</f>
        <v>HGEN</v>
      </c>
    </row>
    <row r="1826">
      <c r="A1826" s="1" t="str">
        <f>IFERROR(__xludf.DUMMYFUNCTION("""COMPUTED_VALUE"""),"HGSH")</f>
        <v>HGSH</v>
      </c>
    </row>
    <row r="1827">
      <c r="A1827" s="1" t="str">
        <f>IFERROR(__xludf.DUMMYFUNCTION("""COMPUTED_VALUE"""),"HHR")</f>
        <v>HHR</v>
      </c>
    </row>
    <row r="1828">
      <c r="A1828" s="1" t="str">
        <f>IFERROR(__xludf.DUMMYFUNCTION("""COMPUTED_VALUE"""),"HIBB")</f>
        <v>HIBB</v>
      </c>
    </row>
    <row r="1829">
      <c r="A1829" s="1" t="str">
        <f>IFERROR(__xludf.DUMMYFUNCTION("""COMPUTED_VALUE"""),"HIFS")</f>
        <v>HIFS</v>
      </c>
    </row>
    <row r="1830">
      <c r="A1830" s="1" t="str">
        <f>IFERROR(__xludf.DUMMYFUNCTION("""COMPUTED_VALUE"""),"HIHO")</f>
        <v>HIHO</v>
      </c>
    </row>
    <row r="1831">
      <c r="A1831" s="1" t="str">
        <f>IFERROR(__xludf.DUMMYFUNCTION("""COMPUTED_VALUE"""),"HIII")</f>
        <v>HIII</v>
      </c>
    </row>
    <row r="1832">
      <c r="A1832" s="1" t="str">
        <f>IFERROR(__xludf.DUMMYFUNCTION("""COMPUTED_VALUE"""),"HIIIU")</f>
        <v>HIIIU</v>
      </c>
    </row>
    <row r="1833">
      <c r="A1833" s="1" t="str">
        <f>IFERROR(__xludf.DUMMYFUNCTION("""COMPUTED_VALUE"""),"HIIIW")</f>
        <v>HIIIW</v>
      </c>
    </row>
    <row r="1834">
      <c r="A1834" s="1" t="str">
        <f>IFERROR(__xludf.DUMMYFUNCTION("""COMPUTED_VALUE"""),"HIMX")</f>
        <v>HIMX</v>
      </c>
    </row>
    <row r="1835">
      <c r="A1835" s="1" t="str">
        <f>IFERROR(__xludf.DUMMYFUNCTION("""COMPUTED_VALUE"""),"HITI")</f>
        <v>HITI</v>
      </c>
    </row>
    <row r="1836">
      <c r="A1836" s="1" t="str">
        <f>IFERROR(__xludf.DUMMYFUNCTION("""COMPUTED_VALUE"""),"HJLI")</f>
        <v>HJLI</v>
      </c>
    </row>
    <row r="1837">
      <c r="A1837" s="1" t="str">
        <f>IFERROR(__xludf.DUMMYFUNCTION("""COMPUTED_VALUE"""),"HJLIW")</f>
        <v>HJLIW</v>
      </c>
    </row>
    <row r="1838">
      <c r="A1838" s="1" t="str">
        <f>IFERROR(__xludf.DUMMYFUNCTION("""COMPUTED_VALUE"""),"HLAH")</f>
        <v>HLAH</v>
      </c>
    </row>
    <row r="1839">
      <c r="A1839" s="1" t="str">
        <f>IFERROR(__xludf.DUMMYFUNCTION("""COMPUTED_VALUE"""),"HLAHU")</f>
        <v>HLAHU</v>
      </c>
    </row>
    <row r="1840">
      <c r="A1840" s="1" t="str">
        <f>IFERROR(__xludf.DUMMYFUNCTION("""COMPUTED_VALUE"""),"HLAHW")</f>
        <v>HLAHW</v>
      </c>
    </row>
    <row r="1841">
      <c r="A1841" s="1" t="str">
        <f>IFERROR(__xludf.DUMMYFUNCTION("""COMPUTED_VALUE"""),"HLG")</f>
        <v>HLG</v>
      </c>
    </row>
    <row r="1842">
      <c r="A1842" s="1" t="str">
        <f>IFERROR(__xludf.DUMMYFUNCTION("""COMPUTED_VALUE"""),"HLIO")</f>
        <v>HLIO</v>
      </c>
    </row>
    <row r="1843">
      <c r="A1843" s="1" t="str">
        <f>IFERROR(__xludf.DUMMYFUNCTION("""COMPUTED_VALUE"""),"HLIT")</f>
        <v>HLIT</v>
      </c>
    </row>
    <row r="1844">
      <c r="A1844" s="1" t="str">
        <f>IFERROR(__xludf.DUMMYFUNCTION("""COMPUTED_VALUE"""),"HLMN")</f>
        <v>HLMN</v>
      </c>
    </row>
    <row r="1845">
      <c r="A1845" s="1" t="str">
        <f>IFERROR(__xludf.DUMMYFUNCTION("""COMPUTED_VALUE"""),"HLMNW")</f>
        <v>HLMNW</v>
      </c>
    </row>
    <row r="1846">
      <c r="A1846" s="1" t="str">
        <f>IFERROR(__xludf.DUMMYFUNCTION("""COMPUTED_VALUE"""),"HLNE")</f>
        <v>HLNE</v>
      </c>
    </row>
    <row r="1847">
      <c r="A1847" s="1" t="str">
        <f>IFERROR(__xludf.DUMMYFUNCTION("""COMPUTED_VALUE"""),"HLXA")</f>
        <v>HLXA</v>
      </c>
    </row>
    <row r="1848">
      <c r="A1848" s="1" t="str">
        <f>IFERROR(__xludf.DUMMYFUNCTION("""COMPUTED_VALUE"""),"HMCO")</f>
        <v>HMCO</v>
      </c>
    </row>
    <row r="1849">
      <c r="A1849" s="1" t="str">
        <f>IFERROR(__xludf.DUMMYFUNCTION("""COMPUTED_VALUE"""),"HMCOU")</f>
        <v>HMCOU</v>
      </c>
    </row>
    <row r="1850">
      <c r="A1850" s="1" t="str">
        <f>IFERROR(__xludf.DUMMYFUNCTION("""COMPUTED_VALUE"""),"HMCOW")</f>
        <v>HMCOW</v>
      </c>
    </row>
    <row r="1851">
      <c r="A1851" s="1" t="str">
        <f>IFERROR(__xludf.DUMMYFUNCTION("""COMPUTED_VALUE"""),"HMHC")</f>
        <v>HMHC</v>
      </c>
    </row>
    <row r="1852">
      <c r="A1852" s="1" t="str">
        <f>IFERROR(__xludf.DUMMYFUNCTION("""COMPUTED_VALUE"""),"HMNF")</f>
        <v>HMNF</v>
      </c>
    </row>
    <row r="1853">
      <c r="A1853" s="1" t="str">
        <f>IFERROR(__xludf.DUMMYFUNCTION("""COMPUTED_VALUE"""),"HMPT")</f>
        <v>HMPT</v>
      </c>
    </row>
    <row r="1854">
      <c r="A1854" s="1" t="str">
        <f>IFERROR(__xludf.DUMMYFUNCTION("""COMPUTED_VALUE"""),"HMST")</f>
        <v>HMST</v>
      </c>
    </row>
    <row r="1855">
      <c r="A1855" s="1" t="str">
        <f>IFERROR(__xludf.DUMMYFUNCTION("""COMPUTED_VALUE"""),"HMTV")</f>
        <v>HMTV</v>
      </c>
    </row>
    <row r="1856">
      <c r="A1856" s="1" t="str">
        <f>IFERROR(__xludf.DUMMYFUNCTION("""COMPUTED_VALUE"""),"HNNA")</f>
        <v>HNNA</v>
      </c>
    </row>
    <row r="1857">
      <c r="A1857" s="1" t="str">
        <f>IFERROR(__xludf.DUMMYFUNCTION("""COMPUTED_VALUE"""),"HNRG")</f>
        <v>HNRG</v>
      </c>
    </row>
    <row r="1858">
      <c r="A1858" s="1" t="str">
        <f>IFERROR(__xludf.DUMMYFUNCTION("""COMPUTED_VALUE"""),"HNST")</f>
        <v>HNST</v>
      </c>
    </row>
    <row r="1859">
      <c r="A1859" s="1" t="str">
        <f>IFERROR(__xludf.DUMMYFUNCTION("""COMPUTED_VALUE"""),"HOFT")</f>
        <v>HOFT</v>
      </c>
    </row>
    <row r="1860">
      <c r="A1860" s="1" t="str">
        <f>IFERROR(__xludf.DUMMYFUNCTION("""COMPUTED_VALUE"""),"HOFV")</f>
        <v>HOFV</v>
      </c>
    </row>
    <row r="1861">
      <c r="A1861" s="1" t="str">
        <f>IFERROR(__xludf.DUMMYFUNCTION("""COMPUTED_VALUE"""),"HOFVW")</f>
        <v>HOFVW</v>
      </c>
    </row>
    <row r="1862">
      <c r="A1862" s="1" t="str">
        <f>IFERROR(__xludf.DUMMYFUNCTION("""COMPUTED_VALUE"""),"HOLI")</f>
        <v>HOLI</v>
      </c>
    </row>
    <row r="1863">
      <c r="A1863" s="1" t="str">
        <f>IFERROR(__xludf.DUMMYFUNCTION("""COMPUTED_VALUE"""),"HOLX")</f>
        <v>HOLX</v>
      </c>
    </row>
    <row r="1864">
      <c r="A1864" s="1" t="str">
        <f>IFERROR(__xludf.DUMMYFUNCTION("""COMPUTED_VALUE"""),"HOMB")</f>
        <v>HOMB</v>
      </c>
    </row>
    <row r="1865">
      <c r="A1865" s="1" t="str">
        <f>IFERROR(__xludf.DUMMYFUNCTION("""COMPUTED_VALUE"""),"HON")</f>
        <v>HON</v>
      </c>
    </row>
    <row r="1866">
      <c r="A1866" s="1" t="str">
        <f>IFERROR(__xludf.DUMMYFUNCTION("""COMPUTED_VALUE"""),"HONE")</f>
        <v>HONE</v>
      </c>
    </row>
    <row r="1867">
      <c r="A1867" s="1" t="str">
        <f>IFERROR(__xludf.DUMMYFUNCTION("""COMPUTED_VALUE"""),"HOOD")</f>
        <v>HOOD</v>
      </c>
    </row>
    <row r="1868">
      <c r="A1868" s="1" t="str">
        <f>IFERROR(__xludf.DUMMYFUNCTION("""COMPUTED_VALUE"""),"HOOK")</f>
        <v>HOOK</v>
      </c>
    </row>
    <row r="1869">
      <c r="A1869" s="1" t="str">
        <f>IFERROR(__xludf.DUMMYFUNCTION("""COMPUTED_VALUE"""),"HOPE")</f>
        <v>HOPE</v>
      </c>
    </row>
    <row r="1870">
      <c r="A1870" s="1" t="str">
        <f>IFERROR(__xludf.DUMMYFUNCTION("""COMPUTED_VALUE"""),"HOTH")</f>
        <v>HOTH</v>
      </c>
    </row>
    <row r="1871">
      <c r="A1871" s="1" t="str">
        <f>IFERROR(__xludf.DUMMYFUNCTION("""COMPUTED_VALUE"""),"HOVNP")</f>
        <v>HOVNP</v>
      </c>
    </row>
    <row r="1872">
      <c r="A1872" s="1" t="str">
        <f>IFERROR(__xludf.DUMMYFUNCTION("""COMPUTED_VALUE"""),"HOWL")</f>
        <v>HOWL</v>
      </c>
    </row>
    <row r="1873">
      <c r="A1873" s="1" t="str">
        <f>IFERROR(__xludf.DUMMYFUNCTION("""COMPUTED_VALUE"""),"HPK")</f>
        <v>HPK</v>
      </c>
    </row>
    <row r="1874">
      <c r="A1874" s="1" t="str">
        <f>IFERROR(__xludf.DUMMYFUNCTION("""COMPUTED_VALUE"""),"HQI")</f>
        <v>HQI</v>
      </c>
    </row>
    <row r="1875">
      <c r="A1875" s="1" t="str">
        <f>IFERROR(__xludf.DUMMYFUNCTION("""COMPUTED_VALUE"""),"HQY")</f>
        <v>HQY</v>
      </c>
    </row>
    <row r="1876">
      <c r="A1876" s="1" t="str">
        <f>IFERROR(__xludf.DUMMYFUNCTION("""COMPUTED_VALUE"""),"HRMY")</f>
        <v>HRMY</v>
      </c>
    </row>
    <row r="1877">
      <c r="A1877" s="1" t="str">
        <f>IFERROR(__xludf.DUMMYFUNCTION("""COMPUTED_VALUE"""),"HROW")</f>
        <v>HROW</v>
      </c>
    </row>
    <row r="1878">
      <c r="A1878" s="1" t="str">
        <f>IFERROR(__xludf.DUMMYFUNCTION("""COMPUTED_VALUE"""),"HROWL")</f>
        <v>HROWL</v>
      </c>
    </row>
    <row r="1879">
      <c r="A1879" s="1" t="str">
        <f>IFERROR(__xludf.DUMMYFUNCTION("""COMPUTED_VALUE"""),"HRTX")</f>
        <v>HRTX</v>
      </c>
    </row>
    <row r="1880">
      <c r="A1880" s="1" t="str">
        <f>IFERROR(__xludf.DUMMYFUNCTION("""COMPUTED_VALUE"""),"HRZN")</f>
        <v>HRZN</v>
      </c>
    </row>
    <row r="1881">
      <c r="A1881" s="1" t="str">
        <f>IFERROR(__xludf.DUMMYFUNCTION("""COMPUTED_VALUE"""),"HSAQ")</f>
        <v>HSAQ</v>
      </c>
    </row>
    <row r="1882">
      <c r="A1882" s="1" t="str">
        <f>IFERROR(__xludf.DUMMYFUNCTION("""COMPUTED_VALUE"""),"HSDT")</f>
        <v>HSDT</v>
      </c>
    </row>
    <row r="1883">
      <c r="A1883" s="1" t="str">
        <f>IFERROR(__xludf.DUMMYFUNCTION("""COMPUTED_VALUE"""),"HSIC")</f>
        <v>HSIC</v>
      </c>
    </row>
    <row r="1884">
      <c r="A1884" s="1" t="str">
        <f>IFERROR(__xludf.DUMMYFUNCTION("""COMPUTED_VALUE"""),"HSII")</f>
        <v>HSII</v>
      </c>
    </row>
    <row r="1885">
      <c r="A1885" s="1" t="str">
        <f>IFERROR(__xludf.DUMMYFUNCTION("""COMPUTED_VALUE"""),"HSKA")</f>
        <v>HSKA</v>
      </c>
    </row>
    <row r="1886">
      <c r="A1886" s="1" t="str">
        <f>IFERROR(__xludf.DUMMYFUNCTION("""COMPUTED_VALUE"""),"HSON")</f>
        <v>HSON</v>
      </c>
    </row>
    <row r="1887">
      <c r="A1887" s="1" t="str">
        <f>IFERROR(__xludf.DUMMYFUNCTION("""COMPUTED_VALUE"""),"HST")</f>
        <v>HST</v>
      </c>
    </row>
    <row r="1888">
      <c r="A1888" s="1" t="str">
        <f>IFERROR(__xludf.DUMMYFUNCTION("""COMPUTED_VALUE"""),"HSTM")</f>
        <v>HSTM</v>
      </c>
    </row>
    <row r="1889">
      <c r="A1889" s="1" t="str">
        <f>IFERROR(__xludf.DUMMYFUNCTION("""COMPUTED_VALUE"""),"HSTO")</f>
        <v>HSTO</v>
      </c>
    </row>
    <row r="1890">
      <c r="A1890" s="1" t="str">
        <f>IFERROR(__xludf.DUMMYFUNCTION("""COMPUTED_VALUE"""),"HTBI")</f>
        <v>HTBI</v>
      </c>
    </row>
    <row r="1891">
      <c r="A1891" s="1" t="str">
        <f>IFERROR(__xludf.DUMMYFUNCTION("""COMPUTED_VALUE"""),"HTBK")</f>
        <v>HTBK</v>
      </c>
    </row>
    <row r="1892">
      <c r="A1892" s="1" t="str">
        <f>IFERROR(__xludf.DUMMYFUNCTION("""COMPUTED_VALUE"""),"HTBX")</f>
        <v>HTBX</v>
      </c>
    </row>
    <row r="1893">
      <c r="A1893" s="1" t="str">
        <f>IFERROR(__xludf.DUMMYFUNCTION("""COMPUTED_VALUE"""),"HTGM")</f>
        <v>HTGM</v>
      </c>
    </row>
    <row r="1894">
      <c r="A1894" s="1" t="str">
        <f>IFERROR(__xludf.DUMMYFUNCTION("""COMPUTED_VALUE"""),"HTHT")</f>
        <v>HTHT</v>
      </c>
    </row>
    <row r="1895">
      <c r="A1895" s="1" t="str">
        <f>IFERROR(__xludf.DUMMYFUNCTION("""COMPUTED_VALUE"""),"HTIA")</f>
        <v>HTIA</v>
      </c>
    </row>
    <row r="1896">
      <c r="A1896" s="1" t="str">
        <f>IFERROR(__xludf.DUMMYFUNCTION("""COMPUTED_VALUE"""),"HTLD")</f>
        <v>HTLD</v>
      </c>
    </row>
    <row r="1897">
      <c r="A1897" s="1" t="str">
        <f>IFERROR(__xludf.DUMMYFUNCTION("""COMPUTED_VALUE"""),"HTLF")</f>
        <v>HTLF</v>
      </c>
    </row>
    <row r="1898">
      <c r="A1898" s="1" t="str">
        <f>IFERROR(__xludf.DUMMYFUNCTION("""COMPUTED_VALUE"""),"HTLFP")</f>
        <v>HTLFP</v>
      </c>
    </row>
    <row r="1899">
      <c r="A1899" s="1" t="str">
        <f>IFERROR(__xludf.DUMMYFUNCTION("""COMPUTED_VALUE"""),"HTOO")</f>
        <v>HTOO</v>
      </c>
    </row>
    <row r="1900">
      <c r="A1900" s="1" t="str">
        <f>IFERROR(__xludf.DUMMYFUNCTION("""COMPUTED_VALUE"""),"HTOOW")</f>
        <v>HTOOW</v>
      </c>
    </row>
    <row r="1901">
      <c r="A1901" s="1" t="str">
        <f>IFERROR(__xludf.DUMMYFUNCTION("""COMPUTED_VALUE"""),"HUBG")</f>
        <v>HUBG</v>
      </c>
    </row>
    <row r="1902">
      <c r="A1902" s="1" t="str">
        <f>IFERROR(__xludf.DUMMYFUNCTION("""COMPUTED_VALUE"""),"HUDI")</f>
        <v>HUDI</v>
      </c>
    </row>
    <row r="1903">
      <c r="A1903" s="1" t="str">
        <f>IFERROR(__xludf.DUMMYFUNCTION("""COMPUTED_VALUE"""),"HUGE")</f>
        <v>HUGE</v>
      </c>
    </row>
    <row r="1904">
      <c r="A1904" s="1" t="str">
        <f>IFERROR(__xludf.DUMMYFUNCTION("""COMPUTED_VALUE"""),"HUIZ")</f>
        <v>HUIZ</v>
      </c>
    </row>
    <row r="1905">
      <c r="A1905" s="1" t="str">
        <f>IFERROR(__xludf.DUMMYFUNCTION("""COMPUTED_VALUE"""),"HURC")</f>
        <v>HURC</v>
      </c>
    </row>
    <row r="1906">
      <c r="A1906" s="1" t="str">
        <f>IFERROR(__xludf.DUMMYFUNCTION("""COMPUTED_VALUE"""),"HURN")</f>
        <v>HURN</v>
      </c>
    </row>
    <row r="1907">
      <c r="A1907" s="1" t="str">
        <f>IFERROR(__xludf.DUMMYFUNCTION("""COMPUTED_VALUE"""),"HUSN")</f>
        <v>HUSN</v>
      </c>
    </row>
    <row r="1908">
      <c r="A1908" s="1" t="str">
        <f>IFERROR(__xludf.DUMMYFUNCTION("""COMPUTED_VALUE"""),"HUT")</f>
        <v>HUT</v>
      </c>
    </row>
    <row r="1909">
      <c r="A1909" s="1" t="str">
        <f>IFERROR(__xludf.DUMMYFUNCTION("""COMPUTED_VALUE"""),"HVBC")</f>
        <v>HVBC</v>
      </c>
    </row>
    <row r="1910">
      <c r="A1910" s="1" t="str">
        <f>IFERROR(__xludf.DUMMYFUNCTION("""COMPUTED_VALUE"""),"HVBT")</f>
        <v>HVBT</v>
      </c>
    </row>
    <row r="1911">
      <c r="A1911" s="1" t="str">
        <f>IFERROR(__xludf.DUMMYFUNCTION("""COMPUTED_VALUE"""),"HWBK")</f>
        <v>HWBK</v>
      </c>
    </row>
    <row r="1912">
      <c r="A1912" s="1" t="str">
        <f>IFERROR(__xludf.DUMMYFUNCTION("""COMPUTED_VALUE"""),"HWC")</f>
        <v>HWC</v>
      </c>
    </row>
    <row r="1913">
      <c r="A1913" s="1" t="str">
        <f>IFERROR(__xludf.DUMMYFUNCTION("""COMPUTED_VALUE"""),"HWCPZ")</f>
        <v>HWCPZ</v>
      </c>
    </row>
    <row r="1914">
      <c r="A1914" s="1" t="str">
        <f>IFERROR(__xludf.DUMMYFUNCTION("""COMPUTED_VALUE"""),"HWELU")</f>
        <v>HWELU</v>
      </c>
    </row>
    <row r="1915">
      <c r="A1915" s="1" t="str">
        <f>IFERROR(__xludf.DUMMYFUNCTION("""COMPUTED_VALUE"""),"HWKN")</f>
        <v>HWKN</v>
      </c>
    </row>
    <row r="1916">
      <c r="A1916" s="1" t="str">
        <f>IFERROR(__xludf.DUMMYFUNCTION("""COMPUTED_VALUE"""),"HX")</f>
        <v>HX</v>
      </c>
    </row>
    <row r="1917">
      <c r="A1917" s="1" t="str">
        <f>IFERROR(__xludf.DUMMYFUNCTION("""COMPUTED_VALUE"""),"HYAC")</f>
        <v>HYAC</v>
      </c>
    </row>
    <row r="1918">
      <c r="A1918" s="1" t="str">
        <f>IFERROR(__xludf.DUMMYFUNCTION("""COMPUTED_VALUE"""),"HYACU")</f>
        <v>HYACU</v>
      </c>
    </row>
    <row r="1919">
      <c r="A1919" s="1" t="str">
        <f>IFERROR(__xludf.DUMMYFUNCTION("""COMPUTED_VALUE"""),"HYACW")</f>
        <v>HYACW</v>
      </c>
    </row>
    <row r="1920">
      <c r="A1920" s="1" t="str">
        <f>IFERROR(__xludf.DUMMYFUNCTION("""COMPUTED_VALUE"""),"HYFM")</f>
        <v>HYFM</v>
      </c>
    </row>
    <row r="1921">
      <c r="A1921" s="1" t="str">
        <f>IFERROR(__xludf.DUMMYFUNCTION("""COMPUTED_VALUE"""),"HYMC")</f>
        <v>HYMC</v>
      </c>
    </row>
    <row r="1922">
      <c r="A1922" s="1" t="str">
        <f>IFERROR(__xludf.DUMMYFUNCTION("""COMPUTED_VALUE"""),"HYMCL")</f>
        <v>HYMCL</v>
      </c>
    </row>
    <row r="1923">
      <c r="A1923" s="1" t="str">
        <f>IFERROR(__xludf.DUMMYFUNCTION("""COMPUTED_VALUE"""),"HYMCW")</f>
        <v>HYMCW</v>
      </c>
    </row>
    <row r="1924">
      <c r="A1924" s="1" t="str">
        <f>IFERROR(__xludf.DUMMYFUNCTION("""COMPUTED_VALUE"""),"HYMCZ")</f>
        <v>HYMCZ</v>
      </c>
    </row>
    <row r="1925">
      <c r="A1925" s="1" t="str">
        <f>IFERROR(__xludf.DUMMYFUNCTION("""COMPUTED_VALUE"""),"HYRE")</f>
        <v>HYRE</v>
      </c>
    </row>
    <row r="1926">
      <c r="A1926" s="1" t="str">
        <f>IFERROR(__xludf.DUMMYFUNCTION("""COMPUTED_VALUE"""),"HYW")</f>
        <v>HYW</v>
      </c>
    </row>
    <row r="1927">
      <c r="A1927" s="1" t="str">
        <f>IFERROR(__xludf.DUMMYFUNCTION("""COMPUTED_VALUE"""),"HYZN")</f>
        <v>HYZN</v>
      </c>
    </row>
    <row r="1928">
      <c r="A1928" s="1" t="str">
        <f>IFERROR(__xludf.DUMMYFUNCTION("""COMPUTED_VALUE"""),"HYZNW")</f>
        <v>HYZNW</v>
      </c>
    </row>
    <row r="1929">
      <c r="A1929" s="1" t="str">
        <f>IFERROR(__xludf.DUMMYFUNCTION("""COMPUTED_VALUE"""),"HZNP")</f>
        <v>HZNP</v>
      </c>
    </row>
    <row r="1930">
      <c r="A1930" s="1" t="str">
        <f>IFERROR(__xludf.DUMMYFUNCTION("""COMPUTED_VALUE"""),"IAC")</f>
        <v>IAC</v>
      </c>
    </row>
    <row r="1931">
      <c r="A1931" s="1" t="str">
        <f>IFERROR(__xludf.DUMMYFUNCTION("""COMPUTED_VALUE"""),"IART")</f>
        <v>IART</v>
      </c>
    </row>
    <row r="1932">
      <c r="A1932" s="1" t="str">
        <f>IFERROR(__xludf.DUMMYFUNCTION("""COMPUTED_VALUE"""),"IAS")</f>
        <v>IAS</v>
      </c>
    </row>
    <row r="1933">
      <c r="A1933" s="1" t="str">
        <f>IFERROR(__xludf.DUMMYFUNCTION("""COMPUTED_VALUE"""),"IBCP")</f>
        <v>IBCP</v>
      </c>
    </row>
    <row r="1934">
      <c r="A1934" s="1" t="str">
        <f>IFERROR(__xludf.DUMMYFUNCTION("""COMPUTED_VALUE"""),"IBEX")</f>
        <v>IBEX</v>
      </c>
    </row>
    <row r="1935">
      <c r="A1935" s="1" t="str">
        <f>IFERROR(__xludf.DUMMYFUNCTION("""COMPUTED_VALUE"""),"IBKR")</f>
        <v>IBKR</v>
      </c>
    </row>
    <row r="1936">
      <c r="A1936" s="1" t="str">
        <f>IFERROR(__xludf.DUMMYFUNCTION("""COMPUTED_VALUE"""),"IBOC")</f>
        <v>IBOC</v>
      </c>
    </row>
    <row r="1937">
      <c r="A1937" s="1" t="str">
        <f>IFERROR(__xludf.DUMMYFUNCTION("""COMPUTED_VALUE"""),"IBRX")</f>
        <v>IBRX</v>
      </c>
    </row>
    <row r="1938">
      <c r="A1938" s="1" t="str">
        <f>IFERROR(__xludf.DUMMYFUNCTION("""COMPUTED_VALUE"""),"IBTX")</f>
        <v>IBTX</v>
      </c>
    </row>
    <row r="1939">
      <c r="A1939" s="1" t="str">
        <f>IFERROR(__xludf.DUMMYFUNCTION("""COMPUTED_VALUE"""),"ICAD")</f>
        <v>ICAD</v>
      </c>
    </row>
    <row r="1940">
      <c r="A1940" s="1" t="str">
        <f>IFERROR(__xludf.DUMMYFUNCTION("""COMPUTED_VALUE"""),"ICBK")</f>
        <v>ICBK</v>
      </c>
    </row>
    <row r="1941">
      <c r="A1941" s="1" t="str">
        <f>IFERROR(__xludf.DUMMYFUNCTION("""COMPUTED_VALUE"""),"ICCC")</f>
        <v>ICCC</v>
      </c>
    </row>
    <row r="1942">
      <c r="A1942" s="1" t="str">
        <f>IFERROR(__xludf.DUMMYFUNCTION("""COMPUTED_VALUE"""),"ICCH")</f>
        <v>ICCH</v>
      </c>
    </row>
    <row r="1943">
      <c r="A1943" s="1" t="str">
        <f>IFERROR(__xludf.DUMMYFUNCTION("""COMPUTED_VALUE"""),"ICFI")</f>
        <v>ICFI</v>
      </c>
    </row>
    <row r="1944">
      <c r="A1944" s="1" t="str">
        <f>IFERROR(__xludf.DUMMYFUNCTION("""COMPUTED_VALUE"""),"ICHR")</f>
        <v>ICHR</v>
      </c>
    </row>
    <row r="1945">
      <c r="A1945" s="1" t="str">
        <f>IFERROR(__xludf.DUMMYFUNCTION("""COMPUTED_VALUE"""),"ICLK")</f>
        <v>ICLK</v>
      </c>
    </row>
    <row r="1946">
      <c r="A1946" s="1" t="str">
        <f>IFERROR(__xludf.DUMMYFUNCTION("""COMPUTED_VALUE"""),"ICLR")</f>
        <v>ICLR</v>
      </c>
    </row>
    <row r="1947">
      <c r="A1947" s="1" t="str">
        <f>IFERROR(__xludf.DUMMYFUNCTION("""COMPUTED_VALUE"""),"ICMB")</f>
        <v>ICMB</v>
      </c>
    </row>
    <row r="1948">
      <c r="A1948" s="1" t="str">
        <f>IFERROR(__xludf.DUMMYFUNCTION("""COMPUTED_VALUE"""),"ICPT")</f>
        <v>ICPT</v>
      </c>
    </row>
    <row r="1949">
      <c r="A1949" s="1" t="str">
        <f>IFERROR(__xludf.DUMMYFUNCTION("""COMPUTED_VALUE"""),"ICUI")</f>
        <v>ICUI</v>
      </c>
    </row>
    <row r="1950">
      <c r="A1950" s="1" t="str">
        <f>IFERROR(__xludf.DUMMYFUNCTION("""COMPUTED_VALUE"""),"ICVX")</f>
        <v>ICVX</v>
      </c>
    </row>
    <row r="1951">
      <c r="A1951" s="1" t="str">
        <f>IFERROR(__xludf.DUMMYFUNCTION("""COMPUTED_VALUE"""),"IDBA")</f>
        <v>IDBA</v>
      </c>
    </row>
    <row r="1952">
      <c r="A1952" s="1" t="str">
        <f>IFERROR(__xludf.DUMMYFUNCTION("""COMPUTED_VALUE"""),"IDCC")</f>
        <v>IDCC</v>
      </c>
    </row>
    <row r="1953">
      <c r="A1953" s="1" t="str">
        <f>IFERROR(__xludf.DUMMYFUNCTION("""COMPUTED_VALUE"""),"IDEX")</f>
        <v>IDEX</v>
      </c>
    </row>
    <row r="1954">
      <c r="A1954" s="1" t="str">
        <f>IFERROR(__xludf.DUMMYFUNCTION("""COMPUTED_VALUE"""),"IDN")</f>
        <v>IDN</v>
      </c>
    </row>
    <row r="1955">
      <c r="A1955" s="1" t="str">
        <f>IFERROR(__xludf.DUMMYFUNCTION("""COMPUTED_VALUE"""),"IDRA")</f>
        <v>IDRA</v>
      </c>
    </row>
    <row r="1956">
      <c r="A1956" s="1" t="str">
        <f>IFERROR(__xludf.DUMMYFUNCTION("""COMPUTED_VALUE"""),"IDXX")</f>
        <v>IDXX</v>
      </c>
    </row>
    <row r="1957">
      <c r="A1957" s="1" t="str">
        <f>IFERROR(__xludf.DUMMYFUNCTION("""COMPUTED_VALUE"""),"IDYA")</f>
        <v>IDYA</v>
      </c>
    </row>
    <row r="1958">
      <c r="A1958" s="1" t="str">
        <f>IFERROR(__xludf.DUMMYFUNCTION("""COMPUTED_VALUE"""),"IEA")</f>
        <v>IEA</v>
      </c>
    </row>
    <row r="1959">
      <c r="A1959" s="1" t="str">
        <f>IFERROR(__xludf.DUMMYFUNCTION("""COMPUTED_VALUE"""),"IEAWW")</f>
        <v>IEAWW</v>
      </c>
    </row>
    <row r="1960">
      <c r="A1960" s="1" t="str">
        <f>IFERROR(__xludf.DUMMYFUNCTION("""COMPUTED_VALUE"""),"IEC")</f>
        <v>IEC</v>
      </c>
    </row>
    <row r="1961">
      <c r="A1961" s="1" t="str">
        <f>IFERROR(__xludf.DUMMYFUNCTION("""COMPUTED_VALUE"""),"IEP")</f>
        <v>IEP</v>
      </c>
    </row>
    <row r="1962">
      <c r="A1962" s="1" t="str">
        <f>IFERROR(__xludf.DUMMYFUNCTION("""COMPUTED_VALUE"""),"IESC")</f>
        <v>IESC</v>
      </c>
    </row>
    <row r="1963">
      <c r="A1963" s="1" t="str">
        <f>IFERROR(__xludf.DUMMYFUNCTION("""COMPUTED_VALUE"""),"IFBD")</f>
        <v>IFBD</v>
      </c>
    </row>
    <row r="1964">
      <c r="A1964" s="1" t="str">
        <f>IFERROR(__xludf.DUMMYFUNCTION("""COMPUTED_VALUE"""),"IFMK")</f>
        <v>IFMK</v>
      </c>
    </row>
    <row r="1965">
      <c r="A1965" s="1" t="str">
        <f>IFERROR(__xludf.DUMMYFUNCTION("""COMPUTED_VALUE"""),"IFRX")</f>
        <v>IFRX</v>
      </c>
    </row>
    <row r="1966">
      <c r="A1966" s="1" t="str">
        <f>IFERROR(__xludf.DUMMYFUNCTION("""COMPUTED_VALUE"""),"IGAC")</f>
        <v>IGAC</v>
      </c>
    </row>
    <row r="1967">
      <c r="A1967" s="1" t="str">
        <f>IFERROR(__xludf.DUMMYFUNCTION("""COMPUTED_VALUE"""),"IGACU")</f>
        <v>IGACU</v>
      </c>
    </row>
    <row r="1968">
      <c r="A1968" s="1" t="str">
        <f>IFERROR(__xludf.DUMMYFUNCTION("""COMPUTED_VALUE"""),"IGACW")</f>
        <v>IGACW</v>
      </c>
    </row>
    <row r="1969">
      <c r="A1969" s="1" t="str">
        <f>IFERROR(__xludf.DUMMYFUNCTION("""COMPUTED_VALUE"""),"IGIC")</f>
        <v>IGIC</v>
      </c>
    </row>
    <row r="1970">
      <c r="A1970" s="1" t="str">
        <f>IFERROR(__xludf.DUMMYFUNCTION("""COMPUTED_VALUE"""),"IGMS")</f>
        <v>IGMS</v>
      </c>
    </row>
    <row r="1971">
      <c r="A1971" s="1" t="str">
        <f>IFERROR(__xludf.DUMMYFUNCTION("""COMPUTED_VALUE"""),"IGNYU")</f>
        <v>IGNYU</v>
      </c>
    </row>
    <row r="1972">
      <c r="A1972" s="1" t="str">
        <f>IFERROR(__xludf.DUMMYFUNCTION("""COMPUTED_VALUE"""),"IHRT")</f>
        <v>IHRT</v>
      </c>
    </row>
    <row r="1973">
      <c r="A1973" s="1" t="str">
        <f>IFERROR(__xludf.DUMMYFUNCTION("""COMPUTED_VALUE"""),"III")</f>
        <v>III</v>
      </c>
    </row>
    <row r="1974">
      <c r="A1974" s="1" t="str">
        <f>IFERROR(__xludf.DUMMYFUNCTION("""COMPUTED_VALUE"""),"IIII")</f>
        <v>IIII</v>
      </c>
    </row>
    <row r="1975">
      <c r="A1975" s="1" t="str">
        <f>IFERROR(__xludf.DUMMYFUNCTION("""COMPUTED_VALUE"""),"IIIIW")</f>
        <v>IIIIW</v>
      </c>
    </row>
    <row r="1976">
      <c r="A1976" s="1" t="str">
        <f>IFERROR(__xludf.DUMMYFUNCTION("""COMPUTED_VALUE"""),"IIIV")</f>
        <v>IIIV</v>
      </c>
    </row>
    <row r="1977">
      <c r="A1977" s="1" t="str">
        <f>IFERROR(__xludf.DUMMYFUNCTION("""COMPUTED_VALUE"""),"IIN")</f>
        <v>IIN</v>
      </c>
    </row>
    <row r="1978">
      <c r="A1978" s="1" t="str">
        <f>IFERROR(__xludf.DUMMYFUNCTION("""COMPUTED_VALUE"""),"IINN")</f>
        <v>IINN</v>
      </c>
    </row>
    <row r="1979">
      <c r="A1979" s="1" t="str">
        <f>IFERROR(__xludf.DUMMYFUNCTION("""COMPUTED_VALUE"""),"IINNW")</f>
        <v>IINNW</v>
      </c>
    </row>
    <row r="1980">
      <c r="A1980" s="1" t="str">
        <f>IFERROR(__xludf.DUMMYFUNCTION("""COMPUTED_VALUE"""),"IIVI")</f>
        <v>IIVI</v>
      </c>
    </row>
    <row r="1981">
      <c r="A1981" s="1" t="str">
        <f>IFERROR(__xludf.DUMMYFUNCTION("""COMPUTED_VALUE"""),"IIVIP")</f>
        <v>IIVIP</v>
      </c>
    </row>
    <row r="1982">
      <c r="A1982" s="1" t="str">
        <f>IFERROR(__xludf.DUMMYFUNCTION("""COMPUTED_VALUE"""),"IKNA")</f>
        <v>IKNA</v>
      </c>
    </row>
    <row r="1983">
      <c r="A1983" s="1" t="str">
        <f>IFERROR(__xludf.DUMMYFUNCTION("""COMPUTED_VALUE"""),"IKNX")</f>
        <v>IKNX</v>
      </c>
    </row>
    <row r="1984">
      <c r="A1984" s="1" t="str">
        <f>IFERROR(__xludf.DUMMYFUNCTION("""COMPUTED_VALUE"""),"IKT")</f>
        <v>IKT</v>
      </c>
    </row>
    <row r="1985">
      <c r="A1985" s="1" t="str">
        <f>IFERROR(__xludf.DUMMYFUNCTION("""COMPUTED_VALUE"""),"ILMN")</f>
        <v>ILMN</v>
      </c>
    </row>
    <row r="1986">
      <c r="A1986" s="1" t="str">
        <f>IFERROR(__xludf.DUMMYFUNCTION("""COMPUTED_VALUE"""),"ILPT")</f>
        <v>ILPT</v>
      </c>
    </row>
    <row r="1987">
      <c r="A1987" s="1" t="str">
        <f>IFERROR(__xludf.DUMMYFUNCTION("""COMPUTED_VALUE"""),"IMAB")</f>
        <v>IMAB</v>
      </c>
    </row>
    <row r="1988">
      <c r="A1988" s="1" t="str">
        <f>IFERROR(__xludf.DUMMYFUNCTION("""COMPUTED_VALUE"""),"IMAC")</f>
        <v>IMAC</v>
      </c>
    </row>
    <row r="1989">
      <c r="A1989" s="1" t="str">
        <f>IFERROR(__xludf.DUMMYFUNCTION("""COMPUTED_VALUE"""),"IMACW")</f>
        <v>IMACW</v>
      </c>
    </row>
    <row r="1990">
      <c r="A1990" s="1" t="str">
        <f>IFERROR(__xludf.DUMMYFUNCTION("""COMPUTED_VALUE"""),"IMAQU")</f>
        <v>IMAQU</v>
      </c>
    </row>
    <row r="1991">
      <c r="A1991" s="1" t="str">
        <f>IFERROR(__xludf.DUMMYFUNCTION("""COMPUTED_VALUE"""),"IMBI")</f>
        <v>IMBI</v>
      </c>
    </row>
    <row r="1992">
      <c r="A1992" s="1" t="str">
        <f>IFERROR(__xludf.DUMMYFUNCTION("""COMPUTED_VALUE"""),"IMCC")</f>
        <v>IMCC</v>
      </c>
    </row>
    <row r="1993">
      <c r="A1993" s="1" t="str">
        <f>IFERROR(__xludf.DUMMYFUNCTION("""COMPUTED_VALUE"""),"IMCR")</f>
        <v>IMCR</v>
      </c>
    </row>
    <row r="1994">
      <c r="A1994" s="1" t="str">
        <f>IFERROR(__xludf.DUMMYFUNCTION("""COMPUTED_VALUE"""),"IMGN")</f>
        <v>IMGN</v>
      </c>
    </row>
    <row r="1995">
      <c r="A1995" s="1" t="str">
        <f>IFERROR(__xludf.DUMMYFUNCTION("""COMPUTED_VALUE"""),"IMGO")</f>
        <v>IMGO</v>
      </c>
    </row>
    <row r="1996">
      <c r="A1996" s="1" t="str">
        <f>IFERROR(__xludf.DUMMYFUNCTION("""COMPUTED_VALUE"""),"IMKTA")</f>
        <v>IMKTA</v>
      </c>
    </row>
    <row r="1997">
      <c r="A1997" s="1" t="str">
        <f>IFERROR(__xludf.DUMMYFUNCTION("""COMPUTED_VALUE"""),"IMMP")</f>
        <v>IMMP</v>
      </c>
    </row>
    <row r="1998">
      <c r="A1998" s="1" t="str">
        <f>IFERROR(__xludf.DUMMYFUNCTION("""COMPUTED_VALUE"""),"IMMR")</f>
        <v>IMMR</v>
      </c>
    </row>
    <row r="1999">
      <c r="A1999" s="1" t="str">
        <f>IFERROR(__xludf.DUMMYFUNCTION("""COMPUTED_VALUE"""),"IMNM")</f>
        <v>IMNM</v>
      </c>
    </row>
    <row r="2000">
      <c r="A2000" s="1" t="str">
        <f>IFERROR(__xludf.DUMMYFUNCTION("""COMPUTED_VALUE"""),"IMOS")</f>
        <v>IMOS</v>
      </c>
    </row>
    <row r="2001">
      <c r="A2001" s="1" t="str">
        <f>IFERROR(__xludf.DUMMYFUNCTION("""COMPUTED_VALUE"""),"IMPL")</f>
        <v>IMPL</v>
      </c>
    </row>
    <row r="2002">
      <c r="A2002" s="1" t="str">
        <f>IFERROR(__xludf.DUMMYFUNCTION("""COMPUTED_VALUE"""),"IMRA")</f>
        <v>IMRA</v>
      </c>
    </row>
    <row r="2003">
      <c r="A2003" s="1" t="str">
        <f>IFERROR(__xludf.DUMMYFUNCTION("""COMPUTED_VALUE"""),"IMRX")</f>
        <v>IMRX</v>
      </c>
    </row>
    <row r="2004">
      <c r="A2004" s="1" t="str">
        <f>IFERROR(__xludf.DUMMYFUNCTION("""COMPUTED_VALUE"""),"IMTE")</f>
        <v>IMTE</v>
      </c>
    </row>
    <row r="2005">
      <c r="A2005" s="1" t="str">
        <f>IFERROR(__xludf.DUMMYFUNCTION("""COMPUTED_VALUE"""),"IMTX")</f>
        <v>IMTX</v>
      </c>
    </row>
    <row r="2006">
      <c r="A2006" s="1" t="str">
        <f>IFERROR(__xludf.DUMMYFUNCTION("""COMPUTED_VALUE"""),"IMUX")</f>
        <v>IMUX</v>
      </c>
    </row>
    <row r="2007">
      <c r="A2007" s="1" t="str">
        <f>IFERROR(__xludf.DUMMYFUNCTION("""COMPUTED_VALUE"""),"IMV")</f>
        <v>IMV</v>
      </c>
    </row>
    <row r="2008">
      <c r="A2008" s="1" t="str">
        <f>IFERROR(__xludf.DUMMYFUNCTION("""COMPUTED_VALUE"""),"IMVT")</f>
        <v>IMVT</v>
      </c>
    </row>
    <row r="2009">
      <c r="A2009" s="1" t="str">
        <f>IFERROR(__xludf.DUMMYFUNCTION("""COMPUTED_VALUE"""),"IMXI")</f>
        <v>IMXI</v>
      </c>
    </row>
    <row r="2010">
      <c r="A2010" s="1" t="str">
        <f>IFERROR(__xludf.DUMMYFUNCTION("""COMPUTED_VALUE"""),"INAB")</f>
        <v>INAB</v>
      </c>
    </row>
    <row r="2011">
      <c r="A2011" s="1" t="str">
        <f>IFERROR(__xludf.DUMMYFUNCTION("""COMPUTED_VALUE"""),"INBK")</f>
        <v>INBK</v>
      </c>
    </row>
    <row r="2012">
      <c r="A2012" s="1" t="str">
        <f>IFERROR(__xludf.DUMMYFUNCTION("""COMPUTED_VALUE"""),"INBKZ")</f>
        <v>INBKZ</v>
      </c>
    </row>
    <row r="2013">
      <c r="A2013" s="1" t="str">
        <f>IFERROR(__xludf.DUMMYFUNCTION("""COMPUTED_VALUE"""),"INBX")</f>
        <v>INBX</v>
      </c>
    </row>
    <row r="2014">
      <c r="A2014" s="1" t="str">
        <f>IFERROR(__xludf.DUMMYFUNCTION("""COMPUTED_VALUE"""),"INCY")</f>
        <v>INCY</v>
      </c>
    </row>
    <row r="2015">
      <c r="A2015" s="1" t="str">
        <f>IFERROR(__xludf.DUMMYFUNCTION("""COMPUTED_VALUE"""),"INDB")</f>
        <v>INDB</v>
      </c>
    </row>
    <row r="2016">
      <c r="A2016" s="1" t="str">
        <f>IFERROR(__xludf.DUMMYFUNCTION("""COMPUTED_VALUE"""),"INDI")</f>
        <v>INDI</v>
      </c>
    </row>
    <row r="2017">
      <c r="A2017" s="1" t="str">
        <f>IFERROR(__xludf.DUMMYFUNCTION("""COMPUTED_VALUE"""),"INDIW")</f>
        <v>INDIW</v>
      </c>
    </row>
    <row r="2018">
      <c r="A2018" s="1" t="str">
        <f>IFERROR(__xludf.DUMMYFUNCTION("""COMPUTED_VALUE"""),"INDP")</f>
        <v>INDP</v>
      </c>
    </row>
    <row r="2019">
      <c r="A2019" s="1" t="str">
        <f>IFERROR(__xludf.DUMMYFUNCTION("""COMPUTED_VALUE"""),"INDT")</f>
        <v>INDT</v>
      </c>
    </row>
    <row r="2020">
      <c r="A2020" s="1" t="str">
        <f>IFERROR(__xludf.DUMMYFUNCTION("""COMPUTED_VALUE"""),"INFI")</f>
        <v>INFI</v>
      </c>
    </row>
    <row r="2021">
      <c r="A2021" s="1" t="str">
        <f>IFERROR(__xludf.DUMMYFUNCTION("""COMPUTED_VALUE"""),"INFN")</f>
        <v>INFN</v>
      </c>
    </row>
    <row r="2022">
      <c r="A2022" s="1" t="str">
        <f>IFERROR(__xludf.DUMMYFUNCTION("""COMPUTED_VALUE"""),"INGN")</f>
        <v>INGN</v>
      </c>
    </row>
    <row r="2023">
      <c r="A2023" s="1" t="str">
        <f>IFERROR(__xludf.DUMMYFUNCTION("""COMPUTED_VALUE"""),"INKA")</f>
        <v>INKA</v>
      </c>
    </row>
    <row r="2024">
      <c r="A2024" s="1" t="str">
        <f>IFERROR(__xludf.DUMMYFUNCTION("""COMPUTED_VALUE"""),"INKAU")</f>
        <v>INKAU</v>
      </c>
    </row>
    <row r="2025">
      <c r="A2025" s="1" t="str">
        <f>IFERROR(__xludf.DUMMYFUNCTION("""COMPUTED_VALUE"""),"INKAW")</f>
        <v>INKAW</v>
      </c>
    </row>
    <row r="2026">
      <c r="A2026" s="1" t="str">
        <f>IFERROR(__xludf.DUMMYFUNCTION("""COMPUTED_VALUE"""),"INM")</f>
        <v>INM</v>
      </c>
    </row>
    <row r="2027">
      <c r="A2027" s="1" t="str">
        <f>IFERROR(__xludf.DUMMYFUNCTION("""COMPUTED_VALUE"""),"INMB")</f>
        <v>INMB</v>
      </c>
    </row>
    <row r="2028">
      <c r="A2028" s="1" t="str">
        <f>IFERROR(__xludf.DUMMYFUNCTION("""COMPUTED_VALUE"""),"INMD")</f>
        <v>INMD</v>
      </c>
    </row>
    <row r="2029">
      <c r="A2029" s="1" t="str">
        <f>IFERROR(__xludf.DUMMYFUNCTION("""COMPUTED_VALUE"""),"INNV")</f>
        <v>INNV</v>
      </c>
    </row>
    <row r="2030">
      <c r="A2030" s="1" t="str">
        <f>IFERROR(__xludf.DUMMYFUNCTION("""COMPUTED_VALUE"""),"INO")</f>
        <v>INO</v>
      </c>
    </row>
    <row r="2031">
      <c r="A2031" s="1" t="str">
        <f>IFERROR(__xludf.DUMMYFUNCTION("""COMPUTED_VALUE"""),"INOD")</f>
        <v>INOD</v>
      </c>
    </row>
    <row r="2032">
      <c r="A2032" s="1" t="str">
        <f>IFERROR(__xludf.DUMMYFUNCTION("""COMPUTED_VALUE"""),"INOV")</f>
        <v>INOV</v>
      </c>
    </row>
    <row r="2033">
      <c r="A2033" s="1" t="str">
        <f>IFERROR(__xludf.DUMMYFUNCTION("""COMPUTED_VALUE"""),"INPX")</f>
        <v>INPX</v>
      </c>
    </row>
    <row r="2034">
      <c r="A2034" s="1" t="str">
        <f>IFERROR(__xludf.DUMMYFUNCTION("""COMPUTED_VALUE"""),"INSE")</f>
        <v>INSE</v>
      </c>
    </row>
    <row r="2035">
      <c r="A2035" s="1" t="str">
        <f>IFERROR(__xludf.DUMMYFUNCTION("""COMPUTED_VALUE"""),"INSG")</f>
        <v>INSG</v>
      </c>
    </row>
    <row r="2036">
      <c r="A2036" s="1" t="str">
        <f>IFERROR(__xludf.DUMMYFUNCTION("""COMPUTED_VALUE"""),"INSM")</f>
        <v>INSM</v>
      </c>
    </row>
    <row r="2037">
      <c r="A2037" s="1" t="str">
        <f>IFERROR(__xludf.DUMMYFUNCTION("""COMPUTED_VALUE"""),"INTA")</f>
        <v>INTA</v>
      </c>
    </row>
    <row r="2038">
      <c r="A2038" s="1" t="str">
        <f>IFERROR(__xludf.DUMMYFUNCTION("""COMPUTED_VALUE"""),"INTC")</f>
        <v>INTC</v>
      </c>
    </row>
    <row r="2039">
      <c r="A2039" s="1" t="str">
        <f>IFERROR(__xludf.DUMMYFUNCTION("""COMPUTED_VALUE"""),"INTG")</f>
        <v>INTG</v>
      </c>
    </row>
    <row r="2040">
      <c r="A2040" s="1" t="str">
        <f>IFERROR(__xludf.DUMMYFUNCTION("""COMPUTED_VALUE"""),"INTU")</f>
        <v>INTU</v>
      </c>
    </row>
    <row r="2041">
      <c r="A2041" s="1" t="str">
        <f>IFERROR(__xludf.DUMMYFUNCTION("""COMPUTED_VALUE"""),"INTZ")</f>
        <v>INTZ</v>
      </c>
    </row>
    <row r="2042">
      <c r="A2042" s="1" t="str">
        <f>IFERROR(__xludf.DUMMYFUNCTION("""COMPUTED_VALUE"""),"INVA")</f>
        <v>INVA</v>
      </c>
    </row>
    <row r="2043">
      <c r="A2043" s="1" t="str">
        <f>IFERROR(__xludf.DUMMYFUNCTION("""COMPUTED_VALUE"""),"INVE")</f>
        <v>INVE</v>
      </c>
    </row>
    <row r="2044">
      <c r="A2044" s="1" t="str">
        <f>IFERROR(__xludf.DUMMYFUNCTION("""COMPUTED_VALUE"""),"INVO")</f>
        <v>INVO</v>
      </c>
    </row>
    <row r="2045">
      <c r="A2045" s="1" t="str">
        <f>IFERROR(__xludf.DUMMYFUNCTION("""COMPUTED_VALUE"""),"INVZ")</f>
        <v>INVZ</v>
      </c>
    </row>
    <row r="2046">
      <c r="A2046" s="1" t="str">
        <f>IFERROR(__xludf.DUMMYFUNCTION("""COMPUTED_VALUE"""),"INVZW")</f>
        <v>INVZW</v>
      </c>
    </row>
    <row r="2047">
      <c r="A2047" s="1" t="str">
        <f>IFERROR(__xludf.DUMMYFUNCTION("""COMPUTED_VALUE"""),"INZY")</f>
        <v>INZY</v>
      </c>
    </row>
    <row r="2048">
      <c r="A2048" s="1" t="str">
        <f>IFERROR(__xludf.DUMMYFUNCTION("""COMPUTED_VALUE"""),"IONS")</f>
        <v>IONS</v>
      </c>
    </row>
    <row r="2049">
      <c r="A2049" s="1" t="str">
        <f>IFERROR(__xludf.DUMMYFUNCTION("""COMPUTED_VALUE"""),"IOSP")</f>
        <v>IOSP</v>
      </c>
    </row>
    <row r="2050">
      <c r="A2050" s="1" t="str">
        <f>IFERROR(__xludf.DUMMYFUNCTION("""COMPUTED_VALUE"""),"IOVA")</f>
        <v>IOVA</v>
      </c>
    </row>
    <row r="2051">
      <c r="A2051" s="1" t="str">
        <f>IFERROR(__xludf.DUMMYFUNCTION("""COMPUTED_VALUE"""),"IPA")</f>
        <v>IPA</v>
      </c>
    </row>
    <row r="2052">
      <c r="A2052" s="1" t="str">
        <f>IFERROR(__xludf.DUMMYFUNCTION("""COMPUTED_VALUE"""),"IPAR")</f>
        <v>IPAR</v>
      </c>
    </row>
    <row r="2053">
      <c r="A2053" s="1" t="str">
        <f>IFERROR(__xludf.DUMMYFUNCTION("""COMPUTED_VALUE"""),"IPDN")</f>
        <v>IPDN</v>
      </c>
    </row>
    <row r="2054">
      <c r="A2054" s="1" t="str">
        <f>IFERROR(__xludf.DUMMYFUNCTION("""COMPUTED_VALUE"""),"IPGP")</f>
        <v>IPGP</v>
      </c>
    </row>
    <row r="2055">
      <c r="A2055" s="1" t="str">
        <f>IFERROR(__xludf.DUMMYFUNCTION("""COMPUTED_VALUE"""),"IPHA")</f>
        <v>IPHA</v>
      </c>
    </row>
    <row r="2056">
      <c r="A2056" s="1" t="str">
        <f>IFERROR(__xludf.DUMMYFUNCTION("""COMPUTED_VALUE"""),"IPLDP")</f>
        <v>IPLDP</v>
      </c>
    </row>
    <row r="2057">
      <c r="A2057" s="1" t="str">
        <f>IFERROR(__xludf.DUMMYFUNCTION("""COMPUTED_VALUE"""),"IPSC")</f>
        <v>IPSC</v>
      </c>
    </row>
    <row r="2058">
      <c r="A2058" s="1" t="str">
        <f>IFERROR(__xludf.DUMMYFUNCTION("""COMPUTED_VALUE"""),"IPVIU")</f>
        <v>IPVIU</v>
      </c>
    </row>
    <row r="2059">
      <c r="A2059" s="1" t="str">
        <f>IFERROR(__xludf.DUMMYFUNCTION("""COMPUTED_VALUE"""),"IPVIW")</f>
        <v>IPVIW</v>
      </c>
    </row>
    <row r="2060">
      <c r="A2060" s="1" t="str">
        <f>IFERROR(__xludf.DUMMYFUNCTION("""COMPUTED_VALUE"""),"IPW")</f>
        <v>IPW</v>
      </c>
    </row>
    <row r="2061">
      <c r="A2061" s="1" t="str">
        <f>IFERROR(__xludf.DUMMYFUNCTION("""COMPUTED_VALUE"""),"IPWR")</f>
        <v>IPWR</v>
      </c>
    </row>
    <row r="2062">
      <c r="A2062" s="1" t="str">
        <f>IFERROR(__xludf.DUMMYFUNCTION("""COMPUTED_VALUE"""),"IQ")</f>
        <v>IQ</v>
      </c>
    </row>
    <row r="2063">
      <c r="A2063" s="1" t="str">
        <f>IFERROR(__xludf.DUMMYFUNCTION("""COMPUTED_VALUE"""),"IRBT")</f>
        <v>IRBT</v>
      </c>
    </row>
    <row r="2064">
      <c r="A2064" s="1" t="str">
        <f>IFERROR(__xludf.DUMMYFUNCTION("""COMPUTED_VALUE"""),"IRCP")</f>
        <v>IRCP</v>
      </c>
    </row>
    <row r="2065">
      <c r="A2065" s="1" t="str">
        <f>IFERROR(__xludf.DUMMYFUNCTION("""COMPUTED_VALUE"""),"IRDM")</f>
        <v>IRDM</v>
      </c>
    </row>
    <row r="2066">
      <c r="A2066" s="1" t="str">
        <f>IFERROR(__xludf.DUMMYFUNCTION("""COMPUTED_VALUE"""),"IRIX")</f>
        <v>IRIX</v>
      </c>
    </row>
    <row r="2067">
      <c r="A2067" s="1" t="str">
        <f>IFERROR(__xludf.DUMMYFUNCTION("""COMPUTED_VALUE"""),"IRMD")</f>
        <v>IRMD</v>
      </c>
    </row>
    <row r="2068">
      <c r="A2068" s="1" t="str">
        <f>IFERROR(__xludf.DUMMYFUNCTION("""COMPUTED_VALUE"""),"IROQ")</f>
        <v>IROQ</v>
      </c>
    </row>
    <row r="2069">
      <c r="A2069" s="1" t="str">
        <f>IFERROR(__xludf.DUMMYFUNCTION("""COMPUTED_VALUE"""),"IRTC")</f>
        <v>IRTC</v>
      </c>
    </row>
    <row r="2070">
      <c r="A2070" s="1" t="str">
        <f>IFERROR(__xludf.DUMMYFUNCTION("""COMPUTED_VALUE"""),"IRWD")</f>
        <v>IRWD</v>
      </c>
    </row>
    <row r="2071">
      <c r="A2071" s="1" t="str">
        <f>IFERROR(__xludf.DUMMYFUNCTION("""COMPUTED_VALUE"""),"ISAA")</f>
        <v>ISAA</v>
      </c>
    </row>
    <row r="2072">
      <c r="A2072" s="1" t="str">
        <f>IFERROR(__xludf.DUMMYFUNCTION("""COMPUTED_VALUE"""),"ISBC")</f>
        <v>ISBC</v>
      </c>
    </row>
    <row r="2073">
      <c r="A2073" s="1" t="str">
        <f>IFERROR(__xludf.DUMMYFUNCTION("""COMPUTED_VALUE"""),"ISEE")</f>
        <v>ISEE</v>
      </c>
    </row>
    <row r="2074">
      <c r="A2074" s="1" t="str">
        <f>IFERROR(__xludf.DUMMYFUNCTION("""COMPUTED_VALUE"""),"ISIG")</f>
        <v>ISIG</v>
      </c>
    </row>
    <row r="2075">
      <c r="A2075" s="1" t="str">
        <f>IFERROR(__xludf.DUMMYFUNCTION("""COMPUTED_VALUE"""),"ISLE")</f>
        <v>ISLE</v>
      </c>
    </row>
    <row r="2076">
      <c r="A2076" s="1" t="str">
        <f>IFERROR(__xludf.DUMMYFUNCTION("""COMPUTED_VALUE"""),"ISLEW")</f>
        <v>ISLEW</v>
      </c>
    </row>
    <row r="2077">
      <c r="A2077" s="1" t="str">
        <f>IFERROR(__xludf.DUMMYFUNCTION("""COMPUTED_VALUE"""),"ISPC")</f>
        <v>ISPC</v>
      </c>
    </row>
    <row r="2078">
      <c r="A2078" s="1" t="str">
        <f>IFERROR(__xludf.DUMMYFUNCTION("""COMPUTED_VALUE"""),"ISRG")</f>
        <v>ISRG</v>
      </c>
    </row>
    <row r="2079">
      <c r="A2079" s="1" t="str">
        <f>IFERROR(__xludf.DUMMYFUNCTION("""COMPUTED_VALUE"""),"ISSC")</f>
        <v>ISSC</v>
      </c>
    </row>
    <row r="2080">
      <c r="A2080" s="1" t="str">
        <f>IFERROR(__xludf.DUMMYFUNCTION("""COMPUTED_VALUE"""),"ISTR")</f>
        <v>ISTR</v>
      </c>
    </row>
    <row r="2081">
      <c r="A2081" s="1" t="str">
        <f>IFERROR(__xludf.DUMMYFUNCTION("""COMPUTED_VALUE"""),"ISUN")</f>
        <v>ISUN</v>
      </c>
    </row>
    <row r="2082">
      <c r="A2082" s="1" t="str">
        <f>IFERROR(__xludf.DUMMYFUNCTION("""COMPUTED_VALUE"""),"ITAC")</f>
        <v>ITAC</v>
      </c>
    </row>
    <row r="2083">
      <c r="A2083" s="1" t="str">
        <f>IFERROR(__xludf.DUMMYFUNCTION("""COMPUTED_VALUE"""),"ITACU")</f>
        <v>ITACU</v>
      </c>
    </row>
    <row r="2084">
      <c r="A2084" s="1" t="str">
        <f>IFERROR(__xludf.DUMMYFUNCTION("""COMPUTED_VALUE"""),"ITACW")</f>
        <v>ITACW</v>
      </c>
    </row>
    <row r="2085">
      <c r="A2085" s="1" t="str">
        <f>IFERROR(__xludf.DUMMYFUNCTION("""COMPUTED_VALUE"""),"ITCI")</f>
        <v>ITCI</v>
      </c>
    </row>
    <row r="2086">
      <c r="A2086" s="1" t="str">
        <f>IFERROR(__xludf.DUMMYFUNCTION("""COMPUTED_VALUE"""),"ITHX")</f>
        <v>ITHX</v>
      </c>
    </row>
    <row r="2087">
      <c r="A2087" s="1" t="str">
        <f>IFERROR(__xludf.DUMMYFUNCTION("""COMPUTED_VALUE"""),"ITHXW")</f>
        <v>ITHXW</v>
      </c>
    </row>
    <row r="2088">
      <c r="A2088" s="1" t="str">
        <f>IFERROR(__xludf.DUMMYFUNCTION("""COMPUTED_VALUE"""),"ITI")</f>
        <v>ITI</v>
      </c>
    </row>
    <row r="2089">
      <c r="A2089" s="1" t="str">
        <f>IFERROR(__xludf.DUMMYFUNCTION("""COMPUTED_VALUE"""),"ITIC")</f>
        <v>ITIC</v>
      </c>
    </row>
    <row r="2090">
      <c r="A2090" s="1" t="str">
        <f>IFERROR(__xludf.DUMMYFUNCTION("""COMPUTED_VALUE"""),"ITMR")</f>
        <v>ITMR</v>
      </c>
    </row>
    <row r="2091">
      <c r="A2091" s="1" t="str">
        <f>IFERROR(__xludf.DUMMYFUNCTION("""COMPUTED_VALUE"""),"ITOS")</f>
        <v>ITOS</v>
      </c>
    </row>
    <row r="2092">
      <c r="A2092" s="1" t="str">
        <f>IFERROR(__xludf.DUMMYFUNCTION("""COMPUTED_VALUE"""),"ITQRW")</f>
        <v>ITQRW</v>
      </c>
    </row>
    <row r="2093">
      <c r="A2093" s="1" t="str">
        <f>IFERROR(__xludf.DUMMYFUNCTION("""COMPUTED_VALUE"""),"ITRI")</f>
        <v>ITRI</v>
      </c>
    </row>
    <row r="2094">
      <c r="A2094" s="1" t="str">
        <f>IFERROR(__xludf.DUMMYFUNCTION("""COMPUTED_VALUE"""),"ITRM")</f>
        <v>ITRM</v>
      </c>
    </row>
    <row r="2095">
      <c r="A2095" s="1" t="str">
        <f>IFERROR(__xludf.DUMMYFUNCTION("""COMPUTED_VALUE"""),"ITRN")</f>
        <v>ITRN</v>
      </c>
    </row>
    <row r="2096">
      <c r="A2096" s="1" t="str">
        <f>IFERROR(__xludf.DUMMYFUNCTION("""COMPUTED_VALUE"""),"IVA")</f>
        <v>IVA</v>
      </c>
    </row>
    <row r="2097">
      <c r="A2097" s="1" t="str">
        <f>IFERROR(__xludf.DUMMYFUNCTION("""COMPUTED_VALUE"""),"IVAC")</f>
        <v>IVAC</v>
      </c>
    </row>
    <row r="2098">
      <c r="A2098" s="1" t="str">
        <f>IFERROR(__xludf.DUMMYFUNCTION("""COMPUTED_VALUE"""),"IZEA")</f>
        <v>IZEA</v>
      </c>
    </row>
    <row r="2099">
      <c r="A2099" s="1" t="str">
        <f>IFERROR(__xludf.DUMMYFUNCTION("""COMPUTED_VALUE"""),"JACK")</f>
        <v>JACK</v>
      </c>
    </row>
    <row r="2100">
      <c r="A2100" s="1" t="str">
        <f>IFERROR(__xludf.DUMMYFUNCTION("""COMPUTED_VALUE"""),"JAGX")</f>
        <v>JAGX</v>
      </c>
    </row>
    <row r="2101">
      <c r="A2101" s="1" t="str">
        <f>IFERROR(__xludf.DUMMYFUNCTION("""COMPUTED_VALUE"""),"JAKK")</f>
        <v>JAKK</v>
      </c>
    </row>
    <row r="2102">
      <c r="A2102" s="1" t="str">
        <f>IFERROR(__xludf.DUMMYFUNCTION("""COMPUTED_VALUE"""),"JAMF")</f>
        <v>JAMF</v>
      </c>
    </row>
    <row r="2103">
      <c r="A2103" s="1" t="str">
        <f>IFERROR(__xludf.DUMMYFUNCTION("""COMPUTED_VALUE"""),"JAN")</f>
        <v>JAN</v>
      </c>
    </row>
    <row r="2104">
      <c r="A2104" s="1" t="str">
        <f>IFERROR(__xludf.DUMMYFUNCTION("""COMPUTED_VALUE"""),"JANX")</f>
        <v>JANX</v>
      </c>
    </row>
    <row r="2105">
      <c r="A2105" s="1" t="str">
        <f>IFERROR(__xludf.DUMMYFUNCTION("""COMPUTED_VALUE"""),"JAZZ")</f>
        <v>JAZZ</v>
      </c>
    </row>
    <row r="2106">
      <c r="A2106" s="1" t="str">
        <f>IFERROR(__xludf.DUMMYFUNCTION("""COMPUTED_VALUE"""),"JBHT")</f>
        <v>JBHT</v>
      </c>
    </row>
    <row r="2107">
      <c r="A2107" s="1" t="str">
        <f>IFERROR(__xludf.DUMMYFUNCTION("""COMPUTED_VALUE"""),"JBLU")</f>
        <v>JBLU</v>
      </c>
    </row>
    <row r="2108">
      <c r="A2108" s="1" t="str">
        <f>IFERROR(__xludf.DUMMYFUNCTION("""COMPUTED_VALUE"""),"JBSS")</f>
        <v>JBSS</v>
      </c>
    </row>
    <row r="2109">
      <c r="A2109" s="1" t="str">
        <f>IFERROR(__xludf.DUMMYFUNCTION("""COMPUTED_VALUE"""),"JCIC")</f>
        <v>JCIC</v>
      </c>
    </row>
    <row r="2110">
      <c r="A2110" s="1" t="str">
        <f>IFERROR(__xludf.DUMMYFUNCTION("""COMPUTED_VALUE"""),"JCICU")</f>
        <v>JCICU</v>
      </c>
    </row>
    <row r="2111">
      <c r="A2111" s="1" t="str">
        <f>IFERROR(__xludf.DUMMYFUNCTION("""COMPUTED_VALUE"""),"JCICW")</f>
        <v>JCICW</v>
      </c>
    </row>
    <row r="2112">
      <c r="A2112" s="1" t="str">
        <f>IFERROR(__xludf.DUMMYFUNCTION("""COMPUTED_VALUE"""),"JCOM")</f>
        <v>JCOM</v>
      </c>
    </row>
    <row r="2113">
      <c r="A2113" s="1" t="str">
        <f>IFERROR(__xludf.DUMMYFUNCTION("""COMPUTED_VALUE"""),"JCS")</f>
        <v>JCS</v>
      </c>
    </row>
    <row r="2114">
      <c r="A2114" s="1" t="str">
        <f>IFERROR(__xludf.DUMMYFUNCTION("""COMPUTED_VALUE"""),"JCTCF")</f>
        <v>JCTCF</v>
      </c>
    </row>
    <row r="2115">
      <c r="A2115" s="1" t="str">
        <f>IFERROR(__xludf.DUMMYFUNCTION("""COMPUTED_VALUE"""),"JD")</f>
        <v>JD</v>
      </c>
    </row>
    <row r="2116">
      <c r="A2116" s="1" t="str">
        <f>IFERROR(__xludf.DUMMYFUNCTION("""COMPUTED_VALUE"""),"JFIN")</f>
        <v>JFIN</v>
      </c>
    </row>
    <row r="2117">
      <c r="A2117" s="1" t="str">
        <f>IFERROR(__xludf.DUMMYFUNCTION("""COMPUTED_VALUE"""),"JFU")</f>
        <v>JFU</v>
      </c>
    </row>
    <row r="2118">
      <c r="A2118" s="1" t="str">
        <f>IFERROR(__xludf.DUMMYFUNCTION("""COMPUTED_VALUE"""),"JG")</f>
        <v>JG</v>
      </c>
    </row>
    <row r="2119">
      <c r="A2119" s="1" t="str">
        <f>IFERROR(__xludf.DUMMYFUNCTION("""COMPUTED_VALUE"""),"JJSF")</f>
        <v>JJSF</v>
      </c>
    </row>
    <row r="2120">
      <c r="A2120" s="1" t="str">
        <f>IFERROR(__xludf.DUMMYFUNCTION("""COMPUTED_VALUE"""),"JKHY")</f>
        <v>JKHY</v>
      </c>
    </row>
    <row r="2121">
      <c r="A2121" s="1" t="str">
        <f>IFERROR(__xludf.DUMMYFUNCTION("""COMPUTED_VALUE"""),"JMPNL")</f>
        <v>JMPNL</v>
      </c>
    </row>
    <row r="2122">
      <c r="A2122" s="1" t="str">
        <f>IFERROR(__xludf.DUMMYFUNCTION("""COMPUTED_VALUE"""),"JMPNZ")</f>
        <v>JMPNZ</v>
      </c>
    </row>
    <row r="2123">
      <c r="A2123" s="1" t="str">
        <f>IFERROR(__xludf.DUMMYFUNCTION("""COMPUTED_VALUE"""),"JNCE")</f>
        <v>JNCE</v>
      </c>
    </row>
    <row r="2124">
      <c r="A2124" s="1" t="str">
        <f>IFERROR(__xludf.DUMMYFUNCTION("""COMPUTED_VALUE"""),"JOAN")</f>
        <v>JOAN</v>
      </c>
    </row>
    <row r="2125">
      <c r="A2125" s="1" t="str">
        <f>IFERROR(__xludf.DUMMYFUNCTION("""COMPUTED_VALUE"""),"JOBS")</f>
        <v>JOBS</v>
      </c>
    </row>
    <row r="2126">
      <c r="A2126" s="1" t="str">
        <f>IFERROR(__xludf.DUMMYFUNCTION("""COMPUTED_VALUE"""),"JOFF")</f>
        <v>JOFF</v>
      </c>
    </row>
    <row r="2127">
      <c r="A2127" s="1" t="str">
        <f>IFERROR(__xludf.DUMMYFUNCTION("""COMPUTED_VALUE"""),"JOFFU")</f>
        <v>JOFFU</v>
      </c>
    </row>
    <row r="2128">
      <c r="A2128" s="1" t="str">
        <f>IFERROR(__xludf.DUMMYFUNCTION("""COMPUTED_VALUE"""),"JOFFW")</f>
        <v>JOFFW</v>
      </c>
    </row>
    <row r="2129">
      <c r="A2129" s="1" t="str">
        <f>IFERROR(__xludf.DUMMYFUNCTION("""COMPUTED_VALUE"""),"JOUT")</f>
        <v>JOUT</v>
      </c>
    </row>
    <row r="2130">
      <c r="A2130" s="1" t="str">
        <f>IFERROR(__xludf.DUMMYFUNCTION("""COMPUTED_VALUE"""),"JRJC")</f>
        <v>JRJC</v>
      </c>
    </row>
    <row r="2131">
      <c r="A2131" s="1" t="str">
        <f>IFERROR(__xludf.DUMMYFUNCTION("""COMPUTED_VALUE"""),"JRSH")</f>
        <v>JRSH</v>
      </c>
    </row>
    <row r="2132">
      <c r="A2132" s="1" t="str">
        <f>IFERROR(__xludf.DUMMYFUNCTION("""COMPUTED_VALUE"""),"JRVR")</f>
        <v>JRVR</v>
      </c>
    </row>
    <row r="2133">
      <c r="A2133" s="1" t="str">
        <f>IFERROR(__xludf.DUMMYFUNCTION("""COMPUTED_VALUE"""),"JSM")</f>
        <v>JSM</v>
      </c>
    </row>
    <row r="2134">
      <c r="A2134" s="1" t="str">
        <f>IFERROR(__xludf.DUMMYFUNCTION("""COMPUTED_VALUE"""),"JUGGU")</f>
        <v>JUGGU</v>
      </c>
    </row>
    <row r="2135">
      <c r="A2135" s="1" t="str">
        <f>IFERROR(__xludf.DUMMYFUNCTION("""COMPUTED_VALUE"""),"JUPW")</f>
        <v>JUPW</v>
      </c>
    </row>
    <row r="2136">
      <c r="A2136" s="1" t="str">
        <f>IFERROR(__xludf.DUMMYFUNCTION("""COMPUTED_VALUE"""),"JUPWW")</f>
        <v>JUPWW</v>
      </c>
    </row>
    <row r="2137">
      <c r="A2137" s="1" t="str">
        <f>IFERROR(__xludf.DUMMYFUNCTION("""COMPUTED_VALUE"""),"JVA")</f>
        <v>JVA</v>
      </c>
    </row>
    <row r="2138">
      <c r="A2138" s="1" t="str">
        <f>IFERROR(__xludf.DUMMYFUNCTION("""COMPUTED_VALUE"""),"JWEL")</f>
        <v>JWEL</v>
      </c>
    </row>
    <row r="2139">
      <c r="A2139" s="1" t="str">
        <f>IFERROR(__xludf.DUMMYFUNCTION("""COMPUTED_VALUE"""),"JYAC")</f>
        <v>JYAC</v>
      </c>
    </row>
    <row r="2140">
      <c r="A2140" s="1" t="str">
        <f>IFERROR(__xludf.DUMMYFUNCTION("""COMPUTED_VALUE"""),"JYNT")</f>
        <v>JYNT</v>
      </c>
    </row>
    <row r="2141">
      <c r="A2141" s="1" t="str">
        <f>IFERROR(__xludf.DUMMYFUNCTION("""COMPUTED_VALUE"""),"JZXN")</f>
        <v>JZXN</v>
      </c>
    </row>
    <row r="2142">
      <c r="A2142" s="1" t="str">
        <f>IFERROR(__xludf.DUMMYFUNCTION("""COMPUTED_VALUE"""),"KAII")</f>
        <v>KAII</v>
      </c>
    </row>
    <row r="2143">
      <c r="A2143" s="1" t="str">
        <f>IFERROR(__xludf.DUMMYFUNCTION("""COMPUTED_VALUE"""),"KAIIU")</f>
        <v>KAIIU</v>
      </c>
    </row>
    <row r="2144">
      <c r="A2144" s="1" t="str">
        <f>IFERROR(__xludf.DUMMYFUNCTION("""COMPUTED_VALUE"""),"KAIIW")</f>
        <v>KAIIW</v>
      </c>
    </row>
    <row r="2145">
      <c r="A2145" s="1" t="str">
        <f>IFERROR(__xludf.DUMMYFUNCTION("""COMPUTED_VALUE"""),"KAIR")</f>
        <v>KAIR</v>
      </c>
    </row>
    <row r="2146">
      <c r="A2146" s="1" t="str">
        <f>IFERROR(__xludf.DUMMYFUNCTION("""COMPUTED_VALUE"""),"KAIRU")</f>
        <v>KAIRU</v>
      </c>
    </row>
    <row r="2147">
      <c r="A2147" s="1" t="str">
        <f>IFERROR(__xludf.DUMMYFUNCTION("""COMPUTED_VALUE"""),"KAIRW")</f>
        <v>KAIRW</v>
      </c>
    </row>
    <row r="2148">
      <c r="A2148" s="1" t="str">
        <f>IFERROR(__xludf.DUMMYFUNCTION("""COMPUTED_VALUE"""),"KALA")</f>
        <v>KALA</v>
      </c>
    </row>
    <row r="2149">
      <c r="A2149" s="1" t="str">
        <f>IFERROR(__xludf.DUMMYFUNCTION("""COMPUTED_VALUE"""),"KALU")</f>
        <v>KALU</v>
      </c>
    </row>
    <row r="2150">
      <c r="A2150" s="1" t="str">
        <f>IFERROR(__xludf.DUMMYFUNCTION("""COMPUTED_VALUE"""),"KALV")</f>
        <v>KALV</v>
      </c>
    </row>
    <row r="2151">
      <c r="A2151" s="1" t="str">
        <f>IFERROR(__xludf.DUMMYFUNCTION("""COMPUTED_VALUE"""),"KARO")</f>
        <v>KARO</v>
      </c>
    </row>
    <row r="2152">
      <c r="A2152" s="1" t="str">
        <f>IFERROR(__xludf.DUMMYFUNCTION("""COMPUTED_VALUE"""),"KAVL")</f>
        <v>KAVL</v>
      </c>
    </row>
    <row r="2153">
      <c r="A2153" s="1" t="str">
        <f>IFERROR(__xludf.DUMMYFUNCTION("""COMPUTED_VALUE"""),"KBAL")</f>
        <v>KBAL</v>
      </c>
    </row>
    <row r="2154">
      <c r="A2154" s="1" t="str">
        <f>IFERROR(__xludf.DUMMYFUNCTION("""COMPUTED_VALUE"""),"KBNT")</f>
        <v>KBNT</v>
      </c>
    </row>
    <row r="2155">
      <c r="A2155" s="1" t="str">
        <f>IFERROR(__xludf.DUMMYFUNCTION("""COMPUTED_VALUE"""),"KBNTW")</f>
        <v>KBNTW</v>
      </c>
    </row>
    <row r="2156">
      <c r="A2156" s="1" t="str">
        <f>IFERROR(__xludf.DUMMYFUNCTION("""COMPUTED_VALUE"""),"KBSF")</f>
        <v>KBSF</v>
      </c>
    </row>
    <row r="2157">
      <c r="A2157" s="1" t="str">
        <f>IFERROR(__xludf.DUMMYFUNCTION("""COMPUTED_VALUE"""),"KC")</f>
        <v>KC</v>
      </c>
    </row>
    <row r="2158">
      <c r="A2158" s="1" t="str">
        <f>IFERROR(__xludf.DUMMYFUNCTION("""COMPUTED_VALUE"""),"KDMN")</f>
        <v>KDMN</v>
      </c>
    </row>
    <row r="2159">
      <c r="A2159" s="1" t="str">
        <f>IFERROR(__xludf.DUMMYFUNCTION("""COMPUTED_VALUE"""),"KDNY")</f>
        <v>KDNY</v>
      </c>
    </row>
    <row r="2160">
      <c r="A2160" s="1" t="str">
        <f>IFERROR(__xludf.DUMMYFUNCTION("""COMPUTED_VALUE"""),"KDP")</f>
        <v>KDP</v>
      </c>
    </row>
    <row r="2161">
      <c r="A2161" s="1" t="str">
        <f>IFERROR(__xludf.DUMMYFUNCTION("""COMPUTED_VALUE"""),"KE")</f>
        <v>KE</v>
      </c>
    </row>
    <row r="2162">
      <c r="A2162" s="1" t="str">
        <f>IFERROR(__xludf.DUMMYFUNCTION("""COMPUTED_VALUE"""),"KELYA")</f>
        <v>KELYA</v>
      </c>
    </row>
    <row r="2163">
      <c r="A2163" s="1" t="str">
        <f>IFERROR(__xludf.DUMMYFUNCTION("""COMPUTED_VALUE"""),"KELYB")</f>
        <v>KELYB</v>
      </c>
    </row>
    <row r="2164">
      <c r="A2164" s="1" t="str">
        <f>IFERROR(__xludf.DUMMYFUNCTION("""COMPUTED_VALUE"""),"KEQU")</f>
        <v>KEQU</v>
      </c>
    </row>
    <row r="2165">
      <c r="A2165" s="1" t="str">
        <f>IFERROR(__xludf.DUMMYFUNCTION("""COMPUTED_VALUE"""),"KERN")</f>
        <v>KERN</v>
      </c>
    </row>
    <row r="2166">
      <c r="A2166" s="1" t="str">
        <f>IFERROR(__xludf.DUMMYFUNCTION("""COMPUTED_VALUE"""),"KERNW")</f>
        <v>KERNW</v>
      </c>
    </row>
    <row r="2167">
      <c r="A2167" s="1" t="str">
        <f>IFERROR(__xludf.DUMMYFUNCTION("""COMPUTED_VALUE"""),"KFFB")</f>
        <v>KFFB</v>
      </c>
    </row>
    <row r="2168">
      <c r="A2168" s="1" t="str">
        <f>IFERROR(__xludf.DUMMYFUNCTION("""COMPUTED_VALUE"""),"KFRC")</f>
        <v>KFRC</v>
      </c>
    </row>
    <row r="2169">
      <c r="A2169" s="1" t="str">
        <f>IFERROR(__xludf.DUMMYFUNCTION("""COMPUTED_VALUE"""),"KHC")</f>
        <v>KHC</v>
      </c>
    </row>
    <row r="2170">
      <c r="A2170" s="1" t="str">
        <f>IFERROR(__xludf.DUMMYFUNCTION("""COMPUTED_VALUE"""),"KIDS")</f>
        <v>KIDS</v>
      </c>
    </row>
    <row r="2171">
      <c r="A2171" s="1" t="str">
        <f>IFERROR(__xludf.DUMMYFUNCTION("""COMPUTED_VALUE"""),"KIII")</f>
        <v>KIII</v>
      </c>
    </row>
    <row r="2172">
      <c r="A2172" s="1" t="str">
        <f>IFERROR(__xludf.DUMMYFUNCTION("""COMPUTED_VALUE"""),"KIIIU")</f>
        <v>KIIIU</v>
      </c>
    </row>
    <row r="2173">
      <c r="A2173" s="1" t="str">
        <f>IFERROR(__xludf.DUMMYFUNCTION("""COMPUTED_VALUE"""),"KIIIW")</f>
        <v>KIIIW</v>
      </c>
    </row>
    <row r="2174">
      <c r="A2174" s="1" t="str">
        <f>IFERROR(__xludf.DUMMYFUNCTION("""COMPUTED_VALUE"""),"KIN")</f>
        <v>KIN</v>
      </c>
    </row>
    <row r="2175">
      <c r="A2175" s="1" t="str">
        <f>IFERROR(__xludf.DUMMYFUNCTION("""COMPUTED_VALUE"""),"KINS")</f>
        <v>KINS</v>
      </c>
    </row>
    <row r="2176">
      <c r="A2176" s="1" t="str">
        <f>IFERROR(__xludf.DUMMYFUNCTION("""COMPUTED_VALUE"""),"KINZ")</f>
        <v>KINZ</v>
      </c>
    </row>
    <row r="2177">
      <c r="A2177" s="1" t="str">
        <f>IFERROR(__xludf.DUMMYFUNCTION("""COMPUTED_VALUE"""),"KINZW")</f>
        <v>KINZW</v>
      </c>
    </row>
    <row r="2178">
      <c r="A2178" s="1" t="str">
        <f>IFERROR(__xludf.DUMMYFUNCTION("""COMPUTED_VALUE"""),"KIRK")</f>
        <v>KIRK</v>
      </c>
    </row>
    <row r="2179">
      <c r="A2179" s="1" t="str">
        <f>IFERROR(__xludf.DUMMYFUNCTION("""COMPUTED_VALUE"""),"KLAC")</f>
        <v>KLAC</v>
      </c>
    </row>
    <row r="2180">
      <c r="A2180" s="1" t="str">
        <f>IFERROR(__xludf.DUMMYFUNCTION("""COMPUTED_VALUE"""),"KLAQ")</f>
        <v>KLAQ</v>
      </c>
    </row>
    <row r="2181">
      <c r="A2181" s="1" t="str">
        <f>IFERROR(__xludf.DUMMYFUNCTION("""COMPUTED_VALUE"""),"KLAQU")</f>
        <v>KLAQU</v>
      </c>
    </row>
    <row r="2182">
      <c r="A2182" s="1" t="str">
        <f>IFERROR(__xludf.DUMMYFUNCTION("""COMPUTED_VALUE"""),"KLAQW")</f>
        <v>KLAQW</v>
      </c>
    </row>
    <row r="2183">
      <c r="A2183" s="1" t="str">
        <f>IFERROR(__xludf.DUMMYFUNCTION("""COMPUTED_VALUE"""),"KLDO")</f>
        <v>KLDO</v>
      </c>
    </row>
    <row r="2184">
      <c r="A2184" s="1" t="str">
        <f>IFERROR(__xludf.DUMMYFUNCTION("""COMPUTED_VALUE"""),"KLIC")</f>
        <v>KLIC</v>
      </c>
    </row>
    <row r="2185">
      <c r="A2185" s="1" t="str">
        <f>IFERROR(__xludf.DUMMYFUNCTION("""COMPUTED_VALUE"""),"KLTR")</f>
        <v>KLTR</v>
      </c>
    </row>
    <row r="2186">
      <c r="A2186" s="1" t="str">
        <f>IFERROR(__xludf.DUMMYFUNCTION("""COMPUTED_VALUE"""),"KLXE")</f>
        <v>KLXE</v>
      </c>
    </row>
    <row r="2187">
      <c r="A2187" s="1" t="str">
        <f>IFERROR(__xludf.DUMMYFUNCTION("""COMPUTED_VALUE"""),"KMDA")</f>
        <v>KMDA</v>
      </c>
    </row>
    <row r="2188">
      <c r="A2188" s="1" t="str">
        <f>IFERROR(__xludf.DUMMYFUNCTION("""COMPUTED_VALUE"""),"KMPH")</f>
        <v>KMPH</v>
      </c>
    </row>
    <row r="2189">
      <c r="A2189" s="1" t="str">
        <f>IFERROR(__xludf.DUMMYFUNCTION("""COMPUTED_VALUE"""),"KNBE")</f>
        <v>KNBE</v>
      </c>
    </row>
    <row r="2190">
      <c r="A2190" s="1" t="str">
        <f>IFERROR(__xludf.DUMMYFUNCTION("""COMPUTED_VALUE"""),"KNDI")</f>
        <v>KNDI</v>
      </c>
    </row>
    <row r="2191">
      <c r="A2191" s="1" t="str">
        <f>IFERROR(__xludf.DUMMYFUNCTION("""COMPUTED_VALUE"""),"KNSA")</f>
        <v>KNSA</v>
      </c>
    </row>
    <row r="2192">
      <c r="A2192" s="1" t="str">
        <f>IFERROR(__xludf.DUMMYFUNCTION("""COMPUTED_VALUE"""),"KNSL")</f>
        <v>KNSL</v>
      </c>
    </row>
    <row r="2193">
      <c r="A2193" s="1" t="str">
        <f>IFERROR(__xludf.DUMMYFUNCTION("""COMPUTED_VALUE"""),"KNTE")</f>
        <v>KNTE</v>
      </c>
    </row>
    <row r="2194">
      <c r="A2194" s="1" t="str">
        <f>IFERROR(__xludf.DUMMYFUNCTION("""COMPUTED_VALUE"""),"KOD")</f>
        <v>KOD</v>
      </c>
    </row>
    <row r="2195">
      <c r="A2195" s="1" t="str">
        <f>IFERROR(__xludf.DUMMYFUNCTION("""COMPUTED_VALUE"""),"KOPN")</f>
        <v>KOPN</v>
      </c>
    </row>
    <row r="2196">
      <c r="A2196" s="1" t="str">
        <f>IFERROR(__xludf.DUMMYFUNCTION("""COMPUTED_VALUE"""),"KOR")</f>
        <v>KOR</v>
      </c>
    </row>
    <row r="2197">
      <c r="A2197" s="1" t="str">
        <f>IFERROR(__xludf.DUMMYFUNCTION("""COMPUTED_VALUE"""),"KOSS")</f>
        <v>KOSS</v>
      </c>
    </row>
    <row r="2198">
      <c r="A2198" s="1" t="str">
        <f>IFERROR(__xludf.DUMMYFUNCTION("""COMPUTED_VALUE"""),"KPLT")</f>
        <v>KPLT</v>
      </c>
    </row>
    <row r="2199">
      <c r="A2199" s="1" t="str">
        <f>IFERROR(__xludf.DUMMYFUNCTION("""COMPUTED_VALUE"""),"KPLTW")</f>
        <v>KPLTW</v>
      </c>
    </row>
    <row r="2200">
      <c r="A2200" s="1" t="str">
        <f>IFERROR(__xludf.DUMMYFUNCTION("""COMPUTED_VALUE"""),"KPTI")</f>
        <v>KPTI</v>
      </c>
    </row>
    <row r="2201">
      <c r="A2201" s="1" t="str">
        <f>IFERROR(__xludf.DUMMYFUNCTION("""COMPUTED_VALUE"""),"KRBP")</f>
        <v>KRBP</v>
      </c>
    </row>
    <row r="2202">
      <c r="A2202" s="1" t="str">
        <f>IFERROR(__xludf.DUMMYFUNCTION("""COMPUTED_VALUE"""),"KRKR")</f>
        <v>KRKR</v>
      </c>
    </row>
    <row r="2203">
      <c r="A2203" s="1" t="str">
        <f>IFERROR(__xludf.DUMMYFUNCTION("""COMPUTED_VALUE"""),"KRMD")</f>
        <v>KRMD</v>
      </c>
    </row>
    <row r="2204">
      <c r="A2204" s="1" t="str">
        <f>IFERROR(__xludf.DUMMYFUNCTION("""COMPUTED_VALUE"""),"KRNL")</f>
        <v>KRNL</v>
      </c>
    </row>
    <row r="2205">
      <c r="A2205" s="1" t="str">
        <f>IFERROR(__xludf.DUMMYFUNCTION("""COMPUTED_VALUE"""),"KRNLU")</f>
        <v>KRNLU</v>
      </c>
    </row>
    <row r="2206">
      <c r="A2206" s="1" t="str">
        <f>IFERROR(__xludf.DUMMYFUNCTION("""COMPUTED_VALUE"""),"KRNLW")</f>
        <v>KRNLW</v>
      </c>
    </row>
    <row r="2207">
      <c r="A2207" s="1" t="str">
        <f>IFERROR(__xludf.DUMMYFUNCTION("""COMPUTED_VALUE"""),"KRNT")</f>
        <v>KRNT</v>
      </c>
    </row>
    <row r="2208">
      <c r="A2208" s="1" t="str">
        <f>IFERROR(__xludf.DUMMYFUNCTION("""COMPUTED_VALUE"""),"KRNY")</f>
        <v>KRNY</v>
      </c>
    </row>
    <row r="2209">
      <c r="A2209" s="1" t="str">
        <f>IFERROR(__xludf.DUMMYFUNCTION("""COMPUTED_VALUE"""),"KRON")</f>
        <v>KRON</v>
      </c>
    </row>
    <row r="2210">
      <c r="A2210" s="1" t="str">
        <f>IFERROR(__xludf.DUMMYFUNCTION("""COMPUTED_VALUE"""),"KROS")</f>
        <v>KROS</v>
      </c>
    </row>
    <row r="2211">
      <c r="A2211" s="1" t="str">
        <f>IFERROR(__xludf.DUMMYFUNCTION("""COMPUTED_VALUE"""),"KRT")</f>
        <v>KRT</v>
      </c>
    </row>
    <row r="2212">
      <c r="A2212" s="1" t="str">
        <f>IFERROR(__xludf.DUMMYFUNCTION("""COMPUTED_VALUE"""),"KRTX")</f>
        <v>KRTX</v>
      </c>
    </row>
    <row r="2213">
      <c r="A2213" s="1" t="str">
        <f>IFERROR(__xludf.DUMMYFUNCTION("""COMPUTED_VALUE"""),"KRUS")</f>
        <v>KRUS</v>
      </c>
    </row>
    <row r="2214">
      <c r="A2214" s="1" t="str">
        <f>IFERROR(__xludf.DUMMYFUNCTION("""COMPUTED_VALUE"""),"KRYS")</f>
        <v>KRYS</v>
      </c>
    </row>
    <row r="2215">
      <c r="A2215" s="1" t="str">
        <f>IFERROR(__xludf.DUMMYFUNCTION("""COMPUTED_VALUE"""),"KSI")</f>
        <v>KSI</v>
      </c>
    </row>
    <row r="2216">
      <c r="A2216" s="1" t="str">
        <f>IFERROR(__xludf.DUMMYFUNCTION("""COMPUTED_VALUE"""),"KSICU")</f>
        <v>KSICU</v>
      </c>
    </row>
    <row r="2217">
      <c r="A2217" s="1" t="str">
        <f>IFERROR(__xludf.DUMMYFUNCTION("""COMPUTED_VALUE"""),"KSICW")</f>
        <v>KSICW</v>
      </c>
    </row>
    <row r="2218">
      <c r="A2218" s="1" t="str">
        <f>IFERROR(__xludf.DUMMYFUNCTION("""COMPUTED_VALUE"""),"KSMT")</f>
        <v>KSMT</v>
      </c>
    </row>
    <row r="2219">
      <c r="A2219" s="1" t="str">
        <f>IFERROR(__xludf.DUMMYFUNCTION("""COMPUTED_VALUE"""),"KSPN")</f>
        <v>KSPN</v>
      </c>
    </row>
    <row r="2220">
      <c r="A2220" s="1" t="str">
        <f>IFERROR(__xludf.DUMMYFUNCTION("""COMPUTED_VALUE"""),"KTCC")</f>
        <v>KTCC</v>
      </c>
    </row>
    <row r="2221">
      <c r="A2221" s="1" t="str">
        <f>IFERROR(__xludf.DUMMYFUNCTION("""COMPUTED_VALUE"""),"KTOS")</f>
        <v>KTOS</v>
      </c>
    </row>
    <row r="2222">
      <c r="A2222" s="1" t="str">
        <f>IFERROR(__xludf.DUMMYFUNCTION("""COMPUTED_VALUE"""),"KTRA")</f>
        <v>KTRA</v>
      </c>
    </row>
    <row r="2223">
      <c r="A2223" s="1" t="str">
        <f>IFERROR(__xludf.DUMMYFUNCTION("""COMPUTED_VALUE"""),"KURA")</f>
        <v>KURA</v>
      </c>
    </row>
    <row r="2224">
      <c r="A2224" s="1" t="str">
        <f>IFERROR(__xludf.DUMMYFUNCTION("""COMPUTED_VALUE"""),"KURI")</f>
        <v>KURI</v>
      </c>
    </row>
    <row r="2225">
      <c r="A2225" s="1" t="str">
        <f>IFERROR(__xludf.DUMMYFUNCTION("""COMPUTED_VALUE"""),"KURIU")</f>
        <v>KURIU</v>
      </c>
    </row>
    <row r="2226">
      <c r="A2226" s="1" t="str">
        <f>IFERROR(__xludf.DUMMYFUNCTION("""COMPUTED_VALUE"""),"KURIW")</f>
        <v>KURIW</v>
      </c>
    </row>
    <row r="2227">
      <c r="A2227" s="1" t="str">
        <f>IFERROR(__xludf.DUMMYFUNCTION("""COMPUTED_VALUE"""),"KVHI")</f>
        <v>KVHI</v>
      </c>
    </row>
    <row r="2228">
      <c r="A2228" s="1" t="str">
        <f>IFERROR(__xludf.DUMMYFUNCTION("""COMPUTED_VALUE"""),"KVSA")</f>
        <v>KVSA</v>
      </c>
    </row>
    <row r="2229">
      <c r="A2229" s="1" t="str">
        <f>IFERROR(__xludf.DUMMYFUNCTION("""COMPUTED_VALUE"""),"KVSB")</f>
        <v>KVSB</v>
      </c>
    </row>
    <row r="2230">
      <c r="A2230" s="1" t="str">
        <f>IFERROR(__xludf.DUMMYFUNCTION("""COMPUTED_VALUE"""),"KVSC")</f>
        <v>KVSC</v>
      </c>
    </row>
    <row r="2231">
      <c r="A2231" s="1" t="str">
        <f>IFERROR(__xludf.DUMMYFUNCTION("""COMPUTED_VALUE"""),"KXIN")</f>
        <v>KXIN</v>
      </c>
    </row>
    <row r="2232">
      <c r="A2232" s="1" t="str">
        <f>IFERROR(__xludf.DUMMYFUNCTION("""COMPUTED_VALUE"""),"KYMR")</f>
        <v>KYMR</v>
      </c>
    </row>
    <row r="2233">
      <c r="A2233" s="1" t="str">
        <f>IFERROR(__xludf.DUMMYFUNCTION("""COMPUTED_VALUE"""),"KZIA")</f>
        <v>KZIA</v>
      </c>
    </row>
    <row r="2234">
      <c r="A2234" s="1" t="str">
        <f>IFERROR(__xludf.DUMMYFUNCTION("""COMPUTED_VALUE"""),"KZR")</f>
        <v>KZR</v>
      </c>
    </row>
    <row r="2235">
      <c r="A2235" s="1" t="str">
        <f>IFERROR(__xludf.DUMMYFUNCTION("""COMPUTED_VALUE"""),"LAAA")</f>
        <v>LAAA</v>
      </c>
    </row>
    <row r="2236">
      <c r="A2236" s="1" t="str">
        <f>IFERROR(__xludf.DUMMYFUNCTION("""COMPUTED_VALUE"""),"LAAAW")</f>
        <v>LAAAW</v>
      </c>
    </row>
    <row r="2237">
      <c r="A2237" s="1" t="str">
        <f>IFERROR(__xludf.DUMMYFUNCTION("""COMPUTED_VALUE"""),"LABP")</f>
        <v>LABP</v>
      </c>
    </row>
    <row r="2238">
      <c r="A2238" s="1" t="str">
        <f>IFERROR(__xludf.DUMMYFUNCTION("""COMPUTED_VALUE"""),"LAKE")</f>
        <v>LAKE</v>
      </c>
    </row>
    <row r="2239">
      <c r="A2239" s="1" t="str">
        <f>IFERROR(__xludf.DUMMYFUNCTION("""COMPUTED_VALUE"""),"LAMR")</f>
        <v>LAMR</v>
      </c>
    </row>
    <row r="2240">
      <c r="A2240" s="1" t="str">
        <f>IFERROR(__xludf.DUMMYFUNCTION("""COMPUTED_VALUE"""),"LANC")</f>
        <v>LANC</v>
      </c>
    </row>
    <row r="2241">
      <c r="A2241" s="1" t="str">
        <f>IFERROR(__xludf.DUMMYFUNCTION("""COMPUTED_VALUE"""),"LAND")</f>
        <v>LAND</v>
      </c>
    </row>
    <row r="2242">
      <c r="A2242" s="1" t="str">
        <f>IFERROR(__xludf.DUMMYFUNCTION("""COMPUTED_VALUE"""),"LANDM")</f>
        <v>LANDM</v>
      </c>
    </row>
    <row r="2243">
      <c r="A2243" s="1" t="str">
        <f>IFERROR(__xludf.DUMMYFUNCTION("""COMPUTED_VALUE"""),"LANDO")</f>
        <v>LANDO</v>
      </c>
    </row>
    <row r="2244">
      <c r="A2244" s="1" t="str">
        <f>IFERROR(__xludf.DUMMYFUNCTION("""COMPUTED_VALUE"""),"LARK")</f>
        <v>LARK</v>
      </c>
    </row>
    <row r="2245">
      <c r="A2245" s="1" t="str">
        <f>IFERROR(__xludf.DUMMYFUNCTION("""COMPUTED_VALUE"""),"LASR")</f>
        <v>LASR</v>
      </c>
    </row>
    <row r="2246">
      <c r="A2246" s="1" t="str">
        <f>IFERROR(__xludf.DUMMYFUNCTION("""COMPUTED_VALUE"""),"LATN")</f>
        <v>LATN</v>
      </c>
    </row>
    <row r="2247">
      <c r="A2247" s="1" t="str">
        <f>IFERROR(__xludf.DUMMYFUNCTION("""COMPUTED_VALUE"""),"LATNU")</f>
        <v>LATNU</v>
      </c>
    </row>
    <row r="2248">
      <c r="A2248" s="1" t="str">
        <f>IFERROR(__xludf.DUMMYFUNCTION("""COMPUTED_VALUE"""),"LATNW")</f>
        <v>LATNW</v>
      </c>
    </row>
    <row r="2249">
      <c r="A2249" s="1" t="str">
        <f>IFERROR(__xludf.DUMMYFUNCTION("""COMPUTED_VALUE"""),"LAUR")</f>
        <v>LAUR</v>
      </c>
    </row>
    <row r="2250">
      <c r="A2250" s="1" t="str">
        <f>IFERROR(__xludf.DUMMYFUNCTION("""COMPUTED_VALUE"""),"LAWS")</f>
        <v>LAWS</v>
      </c>
    </row>
    <row r="2251">
      <c r="A2251" s="1" t="str">
        <f>IFERROR(__xludf.DUMMYFUNCTION("""COMPUTED_VALUE"""),"LAZR")</f>
        <v>LAZR</v>
      </c>
    </row>
    <row r="2252">
      <c r="A2252" s="1" t="str">
        <f>IFERROR(__xludf.DUMMYFUNCTION("""COMPUTED_VALUE"""),"LAZY")</f>
        <v>LAZY</v>
      </c>
    </row>
    <row r="2253">
      <c r="A2253" s="1" t="str">
        <f>IFERROR(__xludf.DUMMYFUNCTION("""COMPUTED_VALUE"""),"LBAI")</f>
        <v>LBAI</v>
      </c>
    </row>
    <row r="2254">
      <c r="A2254" s="1" t="str">
        <f>IFERROR(__xludf.DUMMYFUNCTION("""COMPUTED_VALUE"""),"LBC")</f>
        <v>LBC</v>
      </c>
    </row>
    <row r="2255">
      <c r="A2255" s="1" t="str">
        <f>IFERROR(__xludf.DUMMYFUNCTION("""COMPUTED_VALUE"""),"LBPH")</f>
        <v>LBPH</v>
      </c>
    </row>
    <row r="2256">
      <c r="A2256" s="1" t="str">
        <f>IFERROR(__xludf.DUMMYFUNCTION("""COMPUTED_VALUE"""),"LBPS")</f>
        <v>LBPS</v>
      </c>
    </row>
    <row r="2257">
      <c r="A2257" s="1" t="str">
        <f>IFERROR(__xludf.DUMMYFUNCTION("""COMPUTED_VALUE"""),"LBPSW")</f>
        <v>LBPSW</v>
      </c>
    </row>
    <row r="2258">
      <c r="A2258" s="1" t="str">
        <f>IFERROR(__xludf.DUMMYFUNCTION("""COMPUTED_VALUE"""),"LBRDA")</f>
        <v>LBRDA</v>
      </c>
    </row>
    <row r="2259">
      <c r="A2259" s="1" t="str">
        <f>IFERROR(__xludf.DUMMYFUNCTION("""COMPUTED_VALUE"""),"LBRDK")</f>
        <v>LBRDK</v>
      </c>
    </row>
    <row r="2260">
      <c r="A2260" s="1" t="str">
        <f>IFERROR(__xludf.DUMMYFUNCTION("""COMPUTED_VALUE"""),"LBRDP")</f>
        <v>LBRDP</v>
      </c>
    </row>
    <row r="2261">
      <c r="A2261" s="1" t="str">
        <f>IFERROR(__xludf.DUMMYFUNCTION("""COMPUTED_VALUE"""),"LBTYA")</f>
        <v>LBTYA</v>
      </c>
    </row>
    <row r="2262">
      <c r="A2262" s="1" t="str">
        <f>IFERROR(__xludf.DUMMYFUNCTION("""COMPUTED_VALUE"""),"LBTYB")</f>
        <v>LBTYB</v>
      </c>
    </row>
    <row r="2263">
      <c r="A2263" s="1" t="str">
        <f>IFERROR(__xludf.DUMMYFUNCTION("""COMPUTED_VALUE"""),"LBTYK")</f>
        <v>LBTYK</v>
      </c>
    </row>
    <row r="2264">
      <c r="A2264" s="1" t="str">
        <f>IFERROR(__xludf.DUMMYFUNCTION("""COMPUTED_VALUE"""),"LCA")</f>
        <v>LCA</v>
      </c>
    </row>
    <row r="2265">
      <c r="A2265" s="1" t="str">
        <f>IFERROR(__xludf.DUMMYFUNCTION("""COMPUTED_VALUE"""),"LCAA")</f>
        <v>LCAA</v>
      </c>
    </row>
    <row r="2266">
      <c r="A2266" s="1" t="str">
        <f>IFERROR(__xludf.DUMMYFUNCTION("""COMPUTED_VALUE"""),"LCAAU")</f>
        <v>LCAAU</v>
      </c>
    </row>
    <row r="2267">
      <c r="A2267" s="1" t="str">
        <f>IFERROR(__xludf.DUMMYFUNCTION("""COMPUTED_VALUE"""),"LCAAW")</f>
        <v>LCAAW</v>
      </c>
    </row>
    <row r="2268">
      <c r="A2268" s="1" t="str">
        <f>IFERROR(__xludf.DUMMYFUNCTION("""COMPUTED_VALUE"""),"LCAHU")</f>
        <v>LCAHU</v>
      </c>
    </row>
    <row r="2269">
      <c r="A2269" s="1" t="str">
        <f>IFERROR(__xludf.DUMMYFUNCTION("""COMPUTED_VALUE"""),"LCAHW")</f>
        <v>LCAHW</v>
      </c>
    </row>
    <row r="2270">
      <c r="A2270" s="1" t="str">
        <f>IFERROR(__xludf.DUMMYFUNCTION("""COMPUTED_VALUE"""),"LCAP")</f>
        <v>LCAP</v>
      </c>
    </row>
    <row r="2271">
      <c r="A2271" s="1" t="str">
        <f>IFERROR(__xludf.DUMMYFUNCTION("""COMPUTED_VALUE"""),"LCAPU")</f>
        <v>LCAPU</v>
      </c>
    </row>
    <row r="2272">
      <c r="A2272" s="1" t="str">
        <f>IFERROR(__xludf.DUMMYFUNCTION("""COMPUTED_VALUE"""),"LCAPW")</f>
        <v>LCAPW</v>
      </c>
    </row>
    <row r="2273">
      <c r="A2273" s="1" t="str">
        <f>IFERROR(__xludf.DUMMYFUNCTION("""COMPUTED_VALUE"""),"LCID")</f>
        <v>LCID</v>
      </c>
    </row>
    <row r="2274">
      <c r="A2274" s="1" t="str">
        <f>IFERROR(__xludf.DUMMYFUNCTION("""COMPUTED_VALUE"""),"LCIDW")</f>
        <v>LCIDW</v>
      </c>
    </row>
    <row r="2275">
      <c r="A2275" s="1" t="str">
        <f>IFERROR(__xludf.DUMMYFUNCTION("""COMPUTED_VALUE"""),"LCNB")</f>
        <v>LCNB</v>
      </c>
    </row>
    <row r="2276">
      <c r="A2276" s="1" t="str">
        <f>IFERROR(__xludf.DUMMYFUNCTION("""COMPUTED_VALUE"""),"LCUT")</f>
        <v>LCUT</v>
      </c>
    </row>
    <row r="2277">
      <c r="A2277" s="1" t="str">
        <f>IFERROR(__xludf.DUMMYFUNCTION("""COMPUTED_VALUE"""),"LDHA")</f>
        <v>LDHA</v>
      </c>
    </row>
    <row r="2278">
      <c r="A2278" s="1" t="str">
        <f>IFERROR(__xludf.DUMMYFUNCTION("""COMPUTED_VALUE"""),"LDHAU")</f>
        <v>LDHAU</v>
      </c>
    </row>
    <row r="2279">
      <c r="A2279" s="1" t="str">
        <f>IFERROR(__xludf.DUMMYFUNCTION("""COMPUTED_VALUE"""),"LDHAW")</f>
        <v>LDHAW</v>
      </c>
    </row>
    <row r="2280">
      <c r="A2280" s="1" t="str">
        <f>IFERROR(__xludf.DUMMYFUNCTION("""COMPUTED_VALUE"""),"LE")</f>
        <v>LE</v>
      </c>
    </row>
    <row r="2281">
      <c r="A2281" s="1" t="str">
        <f>IFERROR(__xludf.DUMMYFUNCTION("""COMPUTED_VALUE"""),"LECO")</f>
        <v>LECO</v>
      </c>
    </row>
    <row r="2282">
      <c r="A2282" s="1" t="str">
        <f>IFERROR(__xludf.DUMMYFUNCTION("""COMPUTED_VALUE"""),"LEDS")</f>
        <v>LEDS</v>
      </c>
    </row>
    <row r="2283">
      <c r="A2283" s="1" t="str">
        <f>IFERROR(__xludf.DUMMYFUNCTION("""COMPUTED_VALUE"""),"LEE")</f>
        <v>LEE</v>
      </c>
    </row>
    <row r="2284">
      <c r="A2284" s="1" t="str">
        <f>IFERROR(__xludf.DUMMYFUNCTION("""COMPUTED_VALUE"""),"LEGA")</f>
        <v>LEGA</v>
      </c>
    </row>
    <row r="2285">
      <c r="A2285" s="1" t="str">
        <f>IFERROR(__xludf.DUMMYFUNCTION("""COMPUTED_VALUE"""),"LEGAW")</f>
        <v>LEGAW</v>
      </c>
    </row>
    <row r="2286">
      <c r="A2286" s="1" t="str">
        <f>IFERROR(__xludf.DUMMYFUNCTION("""COMPUTED_VALUE"""),"LEGH")</f>
        <v>LEGH</v>
      </c>
    </row>
    <row r="2287">
      <c r="A2287" s="1" t="str">
        <f>IFERROR(__xludf.DUMMYFUNCTION("""COMPUTED_VALUE"""),"LEGN")</f>
        <v>LEGN</v>
      </c>
    </row>
    <row r="2288">
      <c r="A2288" s="1" t="str">
        <f>IFERROR(__xludf.DUMMYFUNCTION("""COMPUTED_VALUE"""),"LEGO")</f>
        <v>LEGO</v>
      </c>
    </row>
    <row r="2289">
      <c r="A2289" s="1" t="str">
        <f>IFERROR(__xludf.DUMMYFUNCTION("""COMPUTED_VALUE"""),"LEGOU")</f>
        <v>LEGOU</v>
      </c>
    </row>
    <row r="2290">
      <c r="A2290" s="1" t="str">
        <f>IFERROR(__xludf.DUMMYFUNCTION("""COMPUTED_VALUE"""),"LEGOW")</f>
        <v>LEGOW</v>
      </c>
    </row>
    <row r="2291">
      <c r="A2291" s="1" t="str">
        <f>IFERROR(__xludf.DUMMYFUNCTION("""COMPUTED_VALUE"""),"LESL")</f>
        <v>LESL</v>
      </c>
    </row>
    <row r="2292">
      <c r="A2292" s="1" t="str">
        <f>IFERROR(__xludf.DUMMYFUNCTION("""COMPUTED_VALUE"""),"LEVL")</f>
        <v>LEVL</v>
      </c>
    </row>
    <row r="2293">
      <c r="A2293" s="1" t="str">
        <f>IFERROR(__xludf.DUMMYFUNCTION("""COMPUTED_VALUE"""),"LEVLP")</f>
        <v>LEVLP</v>
      </c>
    </row>
    <row r="2294">
      <c r="A2294" s="1" t="str">
        <f>IFERROR(__xludf.DUMMYFUNCTION("""COMPUTED_VALUE"""),"LEXX")</f>
        <v>LEXX</v>
      </c>
    </row>
    <row r="2295">
      <c r="A2295" s="1" t="str">
        <f>IFERROR(__xludf.DUMMYFUNCTION("""COMPUTED_VALUE"""),"LEXXW")</f>
        <v>LEXXW</v>
      </c>
    </row>
    <row r="2296">
      <c r="A2296" s="1" t="str">
        <f>IFERROR(__xludf.DUMMYFUNCTION("""COMPUTED_VALUE"""),"LFMD")</f>
        <v>LFMD</v>
      </c>
    </row>
    <row r="2297">
      <c r="A2297" s="1" t="str">
        <f>IFERROR(__xludf.DUMMYFUNCTION("""COMPUTED_VALUE"""),"LFST")</f>
        <v>LFST</v>
      </c>
    </row>
    <row r="2298">
      <c r="A2298" s="1" t="str">
        <f>IFERROR(__xludf.DUMMYFUNCTION("""COMPUTED_VALUE"""),"LFTR")</f>
        <v>LFTR</v>
      </c>
    </row>
    <row r="2299">
      <c r="A2299" s="1" t="str">
        <f>IFERROR(__xludf.DUMMYFUNCTION("""COMPUTED_VALUE"""),"LFTRU")</f>
        <v>LFTRU</v>
      </c>
    </row>
    <row r="2300">
      <c r="A2300" s="1" t="str">
        <f>IFERROR(__xludf.DUMMYFUNCTION("""COMPUTED_VALUE"""),"LFTRW")</f>
        <v>LFTRW</v>
      </c>
    </row>
    <row r="2301">
      <c r="A2301" s="1" t="str">
        <f>IFERROR(__xludf.DUMMYFUNCTION("""COMPUTED_VALUE"""),"LFUS")</f>
        <v>LFUS</v>
      </c>
    </row>
    <row r="2302">
      <c r="A2302" s="1" t="str">
        <f>IFERROR(__xludf.DUMMYFUNCTION("""COMPUTED_VALUE"""),"LFVN")</f>
        <v>LFVN</v>
      </c>
    </row>
    <row r="2303">
      <c r="A2303" s="1" t="str">
        <f>IFERROR(__xludf.DUMMYFUNCTION("""COMPUTED_VALUE"""),"LGAC")</f>
        <v>LGAC</v>
      </c>
    </row>
    <row r="2304">
      <c r="A2304" s="1" t="str">
        <f>IFERROR(__xludf.DUMMYFUNCTION("""COMPUTED_VALUE"""),"LGACU")</f>
        <v>LGACU</v>
      </c>
    </row>
    <row r="2305">
      <c r="A2305" s="1" t="str">
        <f>IFERROR(__xludf.DUMMYFUNCTION("""COMPUTED_VALUE"""),"LGACW")</f>
        <v>LGACW</v>
      </c>
    </row>
    <row r="2306">
      <c r="A2306" s="1" t="str">
        <f>IFERROR(__xludf.DUMMYFUNCTION("""COMPUTED_VALUE"""),"LGHL")</f>
        <v>LGHL</v>
      </c>
    </row>
    <row r="2307">
      <c r="A2307" s="1" t="str">
        <f>IFERROR(__xludf.DUMMYFUNCTION("""COMPUTED_VALUE"""),"LGHLW")</f>
        <v>LGHLW</v>
      </c>
    </row>
    <row r="2308">
      <c r="A2308" s="1" t="str">
        <f>IFERROR(__xludf.DUMMYFUNCTION("""COMPUTED_VALUE"""),"LGIH")</f>
        <v>LGIH</v>
      </c>
    </row>
    <row r="2309">
      <c r="A2309" s="1" t="str">
        <f>IFERROR(__xludf.DUMMYFUNCTION("""COMPUTED_VALUE"""),"LGND")</f>
        <v>LGND</v>
      </c>
    </row>
    <row r="2310">
      <c r="A2310" s="1" t="str">
        <f>IFERROR(__xludf.DUMMYFUNCTION("""COMPUTED_VALUE"""),"LGO")</f>
        <v>LGO</v>
      </c>
    </row>
    <row r="2311">
      <c r="A2311" s="1" t="str">
        <f>IFERROR(__xludf.DUMMYFUNCTION("""COMPUTED_VALUE"""),"LGVN")</f>
        <v>LGVN</v>
      </c>
    </row>
    <row r="2312">
      <c r="A2312" s="1" t="str">
        <f>IFERROR(__xludf.DUMMYFUNCTION("""COMPUTED_VALUE"""),"LHAA")</f>
        <v>LHAA</v>
      </c>
    </row>
    <row r="2313">
      <c r="A2313" s="1" t="str">
        <f>IFERROR(__xludf.DUMMYFUNCTION("""COMPUTED_VALUE"""),"LHCG")</f>
        <v>LHCG</v>
      </c>
    </row>
    <row r="2314">
      <c r="A2314" s="1" t="str">
        <f>IFERROR(__xludf.DUMMYFUNCTION("""COMPUTED_VALUE"""),"LHDX")</f>
        <v>LHDX</v>
      </c>
    </row>
    <row r="2315">
      <c r="A2315" s="1" t="str">
        <f>IFERROR(__xludf.DUMMYFUNCTION("""COMPUTED_VALUE"""),"LI")</f>
        <v>LI</v>
      </c>
    </row>
    <row r="2316">
      <c r="A2316" s="1" t="str">
        <f>IFERROR(__xludf.DUMMYFUNCTION("""COMPUTED_VALUE"""),"LIFE")</f>
        <v>LIFE</v>
      </c>
    </row>
    <row r="2317">
      <c r="A2317" s="1" t="str">
        <f>IFERROR(__xludf.DUMMYFUNCTION("""COMPUTED_VALUE"""),"LILA")</f>
        <v>LILA</v>
      </c>
    </row>
    <row r="2318">
      <c r="A2318" s="1" t="str">
        <f>IFERROR(__xludf.DUMMYFUNCTION("""COMPUTED_VALUE"""),"LILAK")</f>
        <v>LILAK</v>
      </c>
    </row>
    <row r="2319">
      <c r="A2319" s="1" t="str">
        <f>IFERROR(__xludf.DUMMYFUNCTION("""COMPUTED_VALUE"""),"LINC")</f>
        <v>LINC</v>
      </c>
    </row>
    <row r="2320">
      <c r="A2320" s="1" t="str">
        <f>IFERROR(__xludf.DUMMYFUNCTION("""COMPUTED_VALUE"""),"LIND")</f>
        <v>LIND</v>
      </c>
    </row>
    <row r="2321">
      <c r="A2321" s="1" t="str">
        <f>IFERROR(__xludf.DUMMYFUNCTION("""COMPUTED_VALUE"""),"LINK")</f>
        <v>LINK</v>
      </c>
    </row>
    <row r="2322">
      <c r="A2322" s="1" t="str">
        <f>IFERROR(__xludf.DUMMYFUNCTION("""COMPUTED_VALUE"""),"LIQT")</f>
        <v>LIQT</v>
      </c>
    </row>
    <row r="2323">
      <c r="A2323" s="1" t="str">
        <f>IFERROR(__xludf.DUMMYFUNCTION("""COMPUTED_VALUE"""),"LITE")</f>
        <v>LITE</v>
      </c>
    </row>
    <row r="2324">
      <c r="A2324" s="1" t="str">
        <f>IFERROR(__xludf.DUMMYFUNCTION("""COMPUTED_VALUE"""),"LITTU")</f>
        <v>LITTU</v>
      </c>
    </row>
    <row r="2325">
      <c r="A2325" s="1" t="str">
        <f>IFERROR(__xludf.DUMMYFUNCTION("""COMPUTED_VALUE"""),"LIVE")</f>
        <v>LIVE</v>
      </c>
    </row>
    <row r="2326">
      <c r="A2326" s="1" t="str">
        <f>IFERROR(__xludf.DUMMYFUNCTION("""COMPUTED_VALUE"""),"LIVK")</f>
        <v>LIVK</v>
      </c>
    </row>
    <row r="2327">
      <c r="A2327" s="1" t="str">
        <f>IFERROR(__xludf.DUMMYFUNCTION("""COMPUTED_VALUE"""),"LIVKU")</f>
        <v>LIVKU</v>
      </c>
    </row>
    <row r="2328">
      <c r="A2328" s="1" t="str">
        <f>IFERROR(__xludf.DUMMYFUNCTION("""COMPUTED_VALUE"""),"LIVKW")</f>
        <v>LIVKW</v>
      </c>
    </row>
    <row r="2329">
      <c r="A2329" s="1" t="str">
        <f>IFERROR(__xludf.DUMMYFUNCTION("""COMPUTED_VALUE"""),"LIVN")</f>
        <v>LIVN</v>
      </c>
    </row>
    <row r="2330">
      <c r="A2330" s="1" t="str">
        <f>IFERROR(__xludf.DUMMYFUNCTION("""COMPUTED_VALUE"""),"LIVX")</f>
        <v>LIVX</v>
      </c>
    </row>
    <row r="2331">
      <c r="A2331" s="1" t="str">
        <f>IFERROR(__xludf.DUMMYFUNCTION("""COMPUTED_VALUE"""),"LIXT")</f>
        <v>LIXT</v>
      </c>
    </row>
    <row r="2332">
      <c r="A2332" s="1" t="str">
        <f>IFERROR(__xludf.DUMMYFUNCTION("""COMPUTED_VALUE"""),"LIXTW")</f>
        <v>LIXTW</v>
      </c>
    </row>
    <row r="2333">
      <c r="A2333" s="1" t="str">
        <f>IFERROR(__xludf.DUMMYFUNCTION("""COMPUTED_VALUE"""),"LIZI")</f>
        <v>LIZI</v>
      </c>
    </row>
    <row r="2334">
      <c r="A2334" s="1" t="str">
        <f>IFERROR(__xludf.DUMMYFUNCTION("""COMPUTED_VALUE"""),"LJAQ")</f>
        <v>LJAQ</v>
      </c>
    </row>
    <row r="2335">
      <c r="A2335" s="1" t="str">
        <f>IFERROR(__xludf.DUMMYFUNCTION("""COMPUTED_VALUE"""),"LJAQU")</f>
        <v>LJAQU</v>
      </c>
    </row>
    <row r="2336">
      <c r="A2336" s="1" t="str">
        <f>IFERROR(__xludf.DUMMYFUNCTION("""COMPUTED_VALUE"""),"LJAQW")</f>
        <v>LJAQW</v>
      </c>
    </row>
    <row r="2337">
      <c r="A2337" s="1" t="str">
        <f>IFERROR(__xludf.DUMMYFUNCTION("""COMPUTED_VALUE"""),"LJPC")</f>
        <v>LJPC</v>
      </c>
    </row>
    <row r="2338">
      <c r="A2338" s="1" t="str">
        <f>IFERROR(__xludf.DUMMYFUNCTION("""COMPUTED_VALUE"""),"LKCO")</f>
        <v>LKCO</v>
      </c>
    </row>
    <row r="2339">
      <c r="A2339" s="1" t="str">
        <f>IFERROR(__xludf.DUMMYFUNCTION("""COMPUTED_VALUE"""),"LKFN")</f>
        <v>LKFN</v>
      </c>
    </row>
    <row r="2340">
      <c r="A2340" s="1" t="str">
        <f>IFERROR(__xludf.DUMMYFUNCTION("""COMPUTED_VALUE"""),"LKQ")</f>
        <v>LKQ</v>
      </c>
    </row>
    <row r="2341">
      <c r="A2341" s="1" t="str">
        <f>IFERROR(__xludf.DUMMYFUNCTION("""COMPUTED_VALUE"""),"LLNW")</f>
        <v>LLNW</v>
      </c>
    </row>
    <row r="2342">
      <c r="A2342" s="1" t="str">
        <f>IFERROR(__xludf.DUMMYFUNCTION("""COMPUTED_VALUE"""),"LMACA")</f>
        <v>LMACA</v>
      </c>
    </row>
    <row r="2343">
      <c r="A2343" s="1" t="str">
        <f>IFERROR(__xludf.DUMMYFUNCTION("""COMPUTED_VALUE"""),"LMACU")</f>
        <v>LMACU</v>
      </c>
    </row>
    <row r="2344">
      <c r="A2344" s="1" t="str">
        <f>IFERROR(__xludf.DUMMYFUNCTION("""COMPUTED_VALUE"""),"LMACW")</f>
        <v>LMACW</v>
      </c>
    </row>
    <row r="2345">
      <c r="A2345" s="1" t="str">
        <f>IFERROR(__xludf.DUMMYFUNCTION("""COMPUTED_VALUE"""),"LMAO")</f>
        <v>LMAO</v>
      </c>
    </row>
    <row r="2346">
      <c r="A2346" s="1" t="str">
        <f>IFERROR(__xludf.DUMMYFUNCTION("""COMPUTED_VALUE"""),"LMAOW")</f>
        <v>LMAOW</v>
      </c>
    </row>
    <row r="2347">
      <c r="A2347" s="1" t="str">
        <f>IFERROR(__xludf.DUMMYFUNCTION("""COMPUTED_VALUE"""),"LMAT")</f>
        <v>LMAT</v>
      </c>
    </row>
    <row r="2348">
      <c r="A2348" s="1" t="str">
        <f>IFERROR(__xludf.DUMMYFUNCTION("""COMPUTED_VALUE"""),"LMB")</f>
        <v>LMB</v>
      </c>
    </row>
    <row r="2349">
      <c r="A2349" s="1" t="str">
        <f>IFERROR(__xludf.DUMMYFUNCTION("""COMPUTED_VALUE"""),"LMFA")</f>
        <v>LMFA</v>
      </c>
    </row>
    <row r="2350">
      <c r="A2350" s="1" t="str">
        <f>IFERROR(__xludf.DUMMYFUNCTION("""COMPUTED_VALUE"""),"LMNL")</f>
        <v>LMNL</v>
      </c>
    </row>
    <row r="2351">
      <c r="A2351" s="1" t="str">
        <f>IFERROR(__xludf.DUMMYFUNCTION("""COMPUTED_VALUE"""),"LMNR")</f>
        <v>LMNR</v>
      </c>
    </row>
    <row r="2352">
      <c r="A2352" s="1" t="str">
        <f>IFERROR(__xludf.DUMMYFUNCTION("""COMPUTED_VALUE"""),"LMPX")</f>
        <v>LMPX</v>
      </c>
    </row>
    <row r="2353">
      <c r="A2353" s="1" t="str">
        <f>IFERROR(__xludf.DUMMYFUNCTION("""COMPUTED_VALUE"""),"LMRK")</f>
        <v>LMRK</v>
      </c>
    </row>
    <row r="2354">
      <c r="A2354" s="1" t="str">
        <f>IFERROR(__xludf.DUMMYFUNCTION("""COMPUTED_VALUE"""),"LMRKN")</f>
        <v>LMRKN</v>
      </c>
    </row>
    <row r="2355">
      <c r="A2355" s="1" t="str">
        <f>IFERROR(__xludf.DUMMYFUNCTION("""COMPUTED_VALUE"""),"LMRKO")</f>
        <v>LMRKO</v>
      </c>
    </row>
    <row r="2356">
      <c r="A2356" s="1" t="str">
        <f>IFERROR(__xludf.DUMMYFUNCTION("""COMPUTED_VALUE"""),"LMRKP")</f>
        <v>LMRKP</v>
      </c>
    </row>
    <row r="2357">
      <c r="A2357" s="1" t="str">
        <f>IFERROR(__xludf.DUMMYFUNCTION("""COMPUTED_VALUE"""),"LMST")</f>
        <v>LMST</v>
      </c>
    </row>
    <row r="2358">
      <c r="A2358" s="1" t="str">
        <f>IFERROR(__xludf.DUMMYFUNCTION("""COMPUTED_VALUE"""),"LNDC")</f>
        <v>LNDC</v>
      </c>
    </row>
    <row r="2359">
      <c r="A2359" s="1" t="str">
        <f>IFERROR(__xludf.DUMMYFUNCTION("""COMPUTED_VALUE"""),"LNSR")</f>
        <v>LNSR</v>
      </c>
    </row>
    <row r="2360">
      <c r="A2360" s="1" t="str">
        <f>IFERROR(__xludf.DUMMYFUNCTION("""COMPUTED_VALUE"""),"LNT")</f>
        <v>LNT</v>
      </c>
    </row>
    <row r="2361">
      <c r="A2361" s="1" t="str">
        <f>IFERROR(__xludf.DUMMYFUNCTION("""COMPUTED_VALUE"""),"LNTH")</f>
        <v>LNTH</v>
      </c>
    </row>
    <row r="2362">
      <c r="A2362" s="1" t="str">
        <f>IFERROR(__xludf.DUMMYFUNCTION("""COMPUTED_VALUE"""),"LOAN")</f>
        <v>LOAN</v>
      </c>
    </row>
    <row r="2363">
      <c r="A2363" s="1" t="str">
        <f>IFERROR(__xludf.DUMMYFUNCTION("""COMPUTED_VALUE"""),"LOB")</f>
        <v>LOB</v>
      </c>
    </row>
    <row r="2364">
      <c r="A2364" s="1" t="str">
        <f>IFERROR(__xludf.DUMMYFUNCTION("""COMPUTED_VALUE"""),"LOCO")</f>
        <v>LOCO</v>
      </c>
    </row>
    <row r="2365">
      <c r="A2365" s="1" t="str">
        <f>IFERROR(__xludf.DUMMYFUNCTION("""COMPUTED_VALUE"""),"LOGC")</f>
        <v>LOGC</v>
      </c>
    </row>
    <row r="2366">
      <c r="A2366" s="1" t="str">
        <f>IFERROR(__xludf.DUMMYFUNCTION("""COMPUTED_VALUE"""),"LOGI")</f>
        <v>LOGI</v>
      </c>
    </row>
    <row r="2367">
      <c r="A2367" s="1" t="str">
        <f>IFERROR(__xludf.DUMMYFUNCTION("""COMPUTED_VALUE"""),"LOOP")</f>
        <v>LOOP</v>
      </c>
    </row>
    <row r="2368">
      <c r="A2368" s="1" t="str">
        <f>IFERROR(__xludf.DUMMYFUNCTION("""COMPUTED_VALUE"""),"LOPE")</f>
        <v>LOPE</v>
      </c>
    </row>
    <row r="2369">
      <c r="A2369" s="1" t="str">
        <f>IFERROR(__xludf.DUMMYFUNCTION("""COMPUTED_VALUE"""),"LORL")</f>
        <v>LORL</v>
      </c>
    </row>
    <row r="2370">
      <c r="A2370" s="1" t="str">
        <f>IFERROR(__xludf.DUMMYFUNCTION("""COMPUTED_VALUE"""),"LOTZ")</f>
        <v>LOTZ</v>
      </c>
    </row>
    <row r="2371">
      <c r="A2371" s="1" t="str">
        <f>IFERROR(__xludf.DUMMYFUNCTION("""COMPUTED_VALUE"""),"LOTZW")</f>
        <v>LOTZW</v>
      </c>
    </row>
    <row r="2372">
      <c r="A2372" s="1" t="str">
        <f>IFERROR(__xludf.DUMMYFUNCTION("""COMPUTED_VALUE"""),"LOVE")</f>
        <v>LOVE</v>
      </c>
    </row>
    <row r="2373">
      <c r="A2373" s="1" t="str">
        <f>IFERROR(__xludf.DUMMYFUNCTION("""COMPUTED_VALUE"""),"LPCN")</f>
        <v>LPCN</v>
      </c>
    </row>
    <row r="2374">
      <c r="A2374" s="1" t="str">
        <f>IFERROR(__xludf.DUMMYFUNCTION("""COMPUTED_VALUE"""),"LPLA")</f>
        <v>LPLA</v>
      </c>
    </row>
    <row r="2375">
      <c r="A2375" s="1" t="str">
        <f>IFERROR(__xludf.DUMMYFUNCTION("""COMPUTED_VALUE"""),"LPRO")</f>
        <v>LPRO</v>
      </c>
    </row>
    <row r="2376">
      <c r="A2376" s="1" t="str">
        <f>IFERROR(__xludf.DUMMYFUNCTION("""COMPUTED_VALUE"""),"LPSN")</f>
        <v>LPSN</v>
      </c>
    </row>
    <row r="2377">
      <c r="A2377" s="1" t="str">
        <f>IFERROR(__xludf.DUMMYFUNCTION("""COMPUTED_VALUE"""),"LPTH")</f>
        <v>LPTH</v>
      </c>
    </row>
    <row r="2378">
      <c r="A2378" s="1" t="str">
        <f>IFERROR(__xludf.DUMMYFUNCTION("""COMPUTED_VALUE"""),"LPTX")</f>
        <v>LPTX</v>
      </c>
    </row>
    <row r="2379">
      <c r="A2379" s="1" t="str">
        <f>IFERROR(__xludf.DUMMYFUNCTION("""COMPUTED_VALUE"""),"LQDA")</f>
        <v>LQDA</v>
      </c>
    </row>
    <row r="2380">
      <c r="A2380" s="1" t="str">
        <f>IFERROR(__xludf.DUMMYFUNCTION("""COMPUTED_VALUE"""),"LQDT")</f>
        <v>LQDT</v>
      </c>
    </row>
    <row r="2381">
      <c r="A2381" s="1" t="str">
        <f>IFERROR(__xludf.DUMMYFUNCTION("""COMPUTED_VALUE"""),"LRCX")</f>
        <v>LRCX</v>
      </c>
    </row>
    <row r="2382">
      <c r="A2382" s="1" t="str">
        <f>IFERROR(__xludf.DUMMYFUNCTION("""COMPUTED_VALUE"""),"LRFC")</f>
        <v>LRFC</v>
      </c>
    </row>
    <row r="2383">
      <c r="A2383" s="1" t="str">
        <f>IFERROR(__xludf.DUMMYFUNCTION("""COMPUTED_VALUE"""),"LRMR")</f>
        <v>LRMR</v>
      </c>
    </row>
    <row r="2384">
      <c r="A2384" s="1" t="str">
        <f>IFERROR(__xludf.DUMMYFUNCTION("""COMPUTED_VALUE"""),"LSAQ")</f>
        <v>LSAQ</v>
      </c>
    </row>
    <row r="2385">
      <c r="A2385" s="1" t="str">
        <f>IFERROR(__xludf.DUMMYFUNCTION("""COMPUTED_VALUE"""),"LSBK")</f>
        <v>LSBK</v>
      </c>
    </row>
    <row r="2386">
      <c r="A2386" s="1" t="str">
        <f>IFERROR(__xludf.DUMMYFUNCTION("""COMPUTED_VALUE"""),"LSCC")</f>
        <v>LSCC</v>
      </c>
    </row>
    <row r="2387">
      <c r="A2387" s="1" t="str">
        <f>IFERROR(__xludf.DUMMYFUNCTION("""COMPUTED_VALUE"""),"LSEA")</f>
        <v>LSEA</v>
      </c>
    </row>
    <row r="2388">
      <c r="A2388" s="1" t="str">
        <f>IFERROR(__xludf.DUMMYFUNCTION("""COMPUTED_VALUE"""),"LSEAW")</f>
        <v>LSEAW</v>
      </c>
    </row>
    <row r="2389">
      <c r="A2389" s="1" t="str">
        <f>IFERROR(__xludf.DUMMYFUNCTION("""COMPUTED_VALUE"""),"LSTR")</f>
        <v>LSTR</v>
      </c>
    </row>
    <row r="2390">
      <c r="A2390" s="1" t="str">
        <f>IFERROR(__xludf.DUMMYFUNCTION("""COMPUTED_VALUE"""),"LSXMA")</f>
        <v>LSXMA</v>
      </c>
    </row>
    <row r="2391">
      <c r="A2391" s="1" t="str">
        <f>IFERROR(__xludf.DUMMYFUNCTION("""COMPUTED_VALUE"""),"LSXMK")</f>
        <v>LSXMK</v>
      </c>
    </row>
    <row r="2392">
      <c r="A2392" s="1" t="str">
        <f>IFERROR(__xludf.DUMMYFUNCTION("""COMPUTED_VALUE"""),"LTBR")</f>
        <v>LTBR</v>
      </c>
    </row>
    <row r="2393">
      <c r="A2393" s="1" t="str">
        <f>IFERROR(__xludf.DUMMYFUNCTION("""COMPUTED_VALUE"""),"LTCH")</f>
        <v>LTCH</v>
      </c>
    </row>
    <row r="2394">
      <c r="A2394" s="1" t="str">
        <f>IFERROR(__xludf.DUMMYFUNCTION("""COMPUTED_VALUE"""),"LTCHW")</f>
        <v>LTCHW</v>
      </c>
    </row>
    <row r="2395">
      <c r="A2395" s="1" t="str">
        <f>IFERROR(__xludf.DUMMYFUNCTION("""COMPUTED_VALUE"""),"LTRN")</f>
        <v>LTRN</v>
      </c>
    </row>
    <row r="2396">
      <c r="A2396" s="1" t="str">
        <f>IFERROR(__xludf.DUMMYFUNCTION("""COMPUTED_VALUE"""),"LTRPA")</f>
        <v>LTRPA</v>
      </c>
    </row>
    <row r="2397">
      <c r="A2397" s="1" t="str">
        <f>IFERROR(__xludf.DUMMYFUNCTION("""COMPUTED_VALUE"""),"LTRPB")</f>
        <v>LTRPB</v>
      </c>
    </row>
    <row r="2398">
      <c r="A2398" s="1" t="str">
        <f>IFERROR(__xludf.DUMMYFUNCTION("""COMPUTED_VALUE"""),"LTRX")</f>
        <v>LTRX</v>
      </c>
    </row>
    <row r="2399">
      <c r="A2399" s="1" t="str">
        <f>IFERROR(__xludf.DUMMYFUNCTION("""COMPUTED_VALUE"""),"LULU")</f>
        <v>LULU</v>
      </c>
    </row>
    <row r="2400">
      <c r="A2400" s="1" t="str">
        <f>IFERROR(__xludf.DUMMYFUNCTION("""COMPUTED_VALUE"""),"LUMO")</f>
        <v>LUMO</v>
      </c>
    </row>
    <row r="2401">
      <c r="A2401" s="1" t="str">
        <f>IFERROR(__xludf.DUMMYFUNCTION("""COMPUTED_VALUE"""),"LUNA")</f>
        <v>LUNA</v>
      </c>
    </row>
    <row r="2402">
      <c r="A2402" s="1" t="str">
        <f>IFERROR(__xludf.DUMMYFUNCTION("""COMPUTED_VALUE"""),"LUNG")</f>
        <v>LUNG</v>
      </c>
    </row>
    <row r="2403">
      <c r="A2403" s="1" t="str">
        <f>IFERROR(__xludf.DUMMYFUNCTION("""COMPUTED_VALUE"""),"LUXA")</f>
        <v>LUXA</v>
      </c>
    </row>
    <row r="2404">
      <c r="A2404" s="1" t="str">
        <f>IFERROR(__xludf.DUMMYFUNCTION("""COMPUTED_VALUE"""),"LUXAU")</f>
        <v>LUXAU</v>
      </c>
    </row>
    <row r="2405">
      <c r="A2405" s="1" t="str">
        <f>IFERROR(__xludf.DUMMYFUNCTION("""COMPUTED_VALUE"""),"LUXAW")</f>
        <v>LUXAW</v>
      </c>
    </row>
    <row r="2406">
      <c r="A2406" s="1" t="str">
        <f>IFERROR(__xludf.DUMMYFUNCTION("""COMPUTED_VALUE"""),"LVOX")</f>
        <v>LVOX</v>
      </c>
    </row>
    <row r="2407">
      <c r="A2407" s="1" t="str">
        <f>IFERROR(__xludf.DUMMYFUNCTION("""COMPUTED_VALUE"""),"LVOXW")</f>
        <v>LVOXW</v>
      </c>
    </row>
    <row r="2408">
      <c r="A2408" s="1" t="str">
        <f>IFERROR(__xludf.DUMMYFUNCTION("""COMPUTED_VALUE"""),"LVRA")</f>
        <v>LVRA</v>
      </c>
    </row>
    <row r="2409">
      <c r="A2409" s="1" t="str">
        <f>IFERROR(__xludf.DUMMYFUNCTION("""COMPUTED_VALUE"""),"LVTX")</f>
        <v>LVTX</v>
      </c>
    </row>
    <row r="2410">
      <c r="A2410" s="1" t="str">
        <f>IFERROR(__xludf.DUMMYFUNCTION("""COMPUTED_VALUE"""),"LWAC")</f>
        <v>LWAC</v>
      </c>
    </row>
    <row r="2411">
      <c r="A2411" s="1" t="str">
        <f>IFERROR(__xludf.DUMMYFUNCTION("""COMPUTED_VALUE"""),"LWACU")</f>
        <v>LWACU</v>
      </c>
    </row>
    <row r="2412">
      <c r="A2412" s="1" t="str">
        <f>IFERROR(__xludf.DUMMYFUNCTION("""COMPUTED_VALUE"""),"LWACW")</f>
        <v>LWACW</v>
      </c>
    </row>
    <row r="2413">
      <c r="A2413" s="1" t="str">
        <f>IFERROR(__xludf.DUMMYFUNCTION("""COMPUTED_VALUE"""),"LWAY")</f>
        <v>LWAY</v>
      </c>
    </row>
    <row r="2414">
      <c r="A2414" s="1" t="str">
        <f>IFERROR(__xludf.DUMMYFUNCTION("""COMPUTED_VALUE"""),"LX")</f>
        <v>LX</v>
      </c>
    </row>
    <row r="2415">
      <c r="A2415" s="1" t="str">
        <f>IFERROR(__xludf.DUMMYFUNCTION("""COMPUTED_VALUE"""),"LXEH")</f>
        <v>LXEH</v>
      </c>
    </row>
    <row r="2416">
      <c r="A2416" s="1" t="str">
        <f>IFERROR(__xludf.DUMMYFUNCTION("""COMPUTED_VALUE"""),"LXRX")</f>
        <v>LXRX</v>
      </c>
    </row>
    <row r="2417">
      <c r="A2417" s="1" t="str">
        <f>IFERROR(__xludf.DUMMYFUNCTION("""COMPUTED_VALUE"""),"LYEL")</f>
        <v>LYEL</v>
      </c>
    </row>
    <row r="2418">
      <c r="A2418" s="1" t="str">
        <f>IFERROR(__xludf.DUMMYFUNCTION("""COMPUTED_VALUE"""),"LYFT")</f>
        <v>LYFT</v>
      </c>
    </row>
    <row r="2419">
      <c r="A2419" s="1" t="str">
        <f>IFERROR(__xludf.DUMMYFUNCTION("""COMPUTED_VALUE"""),"LYL")</f>
        <v>LYL</v>
      </c>
    </row>
    <row r="2420">
      <c r="A2420" s="1" t="str">
        <f>IFERROR(__xludf.DUMMYFUNCTION("""COMPUTED_VALUE"""),"LYRA")</f>
        <v>LYRA</v>
      </c>
    </row>
    <row r="2421">
      <c r="A2421" s="1" t="str">
        <f>IFERROR(__xludf.DUMMYFUNCTION("""COMPUTED_VALUE"""),"LYTS")</f>
        <v>LYTS</v>
      </c>
    </row>
    <row r="2422">
      <c r="A2422" s="1" t="str">
        <f>IFERROR(__xludf.DUMMYFUNCTION("""COMPUTED_VALUE"""),"LZ")</f>
        <v>LZ</v>
      </c>
    </row>
    <row r="2423">
      <c r="A2423" s="1" t="str">
        <f>IFERROR(__xludf.DUMMYFUNCTION("""COMPUTED_VALUE"""),"MAAC")</f>
        <v>MAAC</v>
      </c>
    </row>
    <row r="2424">
      <c r="A2424" s="1" t="str">
        <f>IFERROR(__xludf.DUMMYFUNCTION("""COMPUTED_VALUE"""),"MAACU")</f>
        <v>MAACU</v>
      </c>
    </row>
    <row r="2425">
      <c r="A2425" s="1" t="str">
        <f>IFERROR(__xludf.DUMMYFUNCTION("""COMPUTED_VALUE"""),"MAACW")</f>
        <v>MAACW</v>
      </c>
    </row>
    <row r="2426">
      <c r="A2426" s="1" t="str">
        <f>IFERROR(__xludf.DUMMYFUNCTION("""COMPUTED_VALUE"""),"MACA")</f>
        <v>MACA</v>
      </c>
    </row>
    <row r="2427">
      <c r="A2427" s="1" t="str">
        <f>IFERROR(__xludf.DUMMYFUNCTION("""COMPUTED_VALUE"""),"MACAU")</f>
        <v>MACAU</v>
      </c>
    </row>
    <row r="2428">
      <c r="A2428" s="1" t="str">
        <f>IFERROR(__xludf.DUMMYFUNCTION("""COMPUTED_VALUE"""),"MACAW")</f>
        <v>MACAW</v>
      </c>
    </row>
    <row r="2429">
      <c r="A2429" s="1" t="str">
        <f>IFERROR(__xludf.DUMMYFUNCTION("""COMPUTED_VALUE"""),"MACK")</f>
        <v>MACK</v>
      </c>
    </row>
    <row r="2430">
      <c r="A2430" s="1" t="str">
        <f>IFERROR(__xludf.DUMMYFUNCTION("""COMPUTED_VALUE"""),"MACQ")</f>
        <v>MACQ</v>
      </c>
    </row>
    <row r="2431">
      <c r="A2431" s="1" t="str">
        <f>IFERROR(__xludf.DUMMYFUNCTION("""COMPUTED_VALUE"""),"MACQU")</f>
        <v>MACQU</v>
      </c>
    </row>
    <row r="2432">
      <c r="A2432" s="1" t="str">
        <f>IFERROR(__xludf.DUMMYFUNCTION("""COMPUTED_VALUE"""),"MACQW")</f>
        <v>MACQW</v>
      </c>
    </row>
    <row r="2433">
      <c r="A2433" s="1" t="str">
        <f>IFERROR(__xludf.DUMMYFUNCTION("""COMPUTED_VALUE"""),"MACU")</f>
        <v>MACU</v>
      </c>
    </row>
    <row r="2434">
      <c r="A2434" s="1" t="str">
        <f>IFERROR(__xludf.DUMMYFUNCTION("""COMPUTED_VALUE"""),"MACUW")</f>
        <v>MACUW</v>
      </c>
    </row>
    <row r="2435">
      <c r="A2435" s="1" t="str">
        <f>IFERROR(__xludf.DUMMYFUNCTION("""COMPUTED_VALUE"""),"MAGS")</f>
        <v>MAGS</v>
      </c>
    </row>
    <row r="2436">
      <c r="A2436" s="1" t="str">
        <f>IFERROR(__xludf.DUMMYFUNCTION("""COMPUTED_VALUE"""),"MANH")</f>
        <v>MANH</v>
      </c>
    </row>
    <row r="2437">
      <c r="A2437" s="1" t="str">
        <f>IFERROR(__xludf.DUMMYFUNCTION("""COMPUTED_VALUE"""),"MANT")</f>
        <v>MANT</v>
      </c>
    </row>
    <row r="2438">
      <c r="A2438" s="1" t="str">
        <f>IFERROR(__xludf.DUMMYFUNCTION("""COMPUTED_VALUE"""),"MAPS")</f>
        <v>MAPS</v>
      </c>
    </row>
    <row r="2439">
      <c r="A2439" s="1" t="str">
        <f>IFERROR(__xludf.DUMMYFUNCTION("""COMPUTED_VALUE"""),"MAPSW")</f>
        <v>MAPSW</v>
      </c>
    </row>
    <row r="2440">
      <c r="A2440" s="1" t="str">
        <f>IFERROR(__xludf.DUMMYFUNCTION("""COMPUTED_VALUE"""),"MAQC")</f>
        <v>MAQC</v>
      </c>
    </row>
    <row r="2441">
      <c r="A2441" s="1" t="str">
        <f>IFERROR(__xludf.DUMMYFUNCTION("""COMPUTED_VALUE"""),"MAQCU")</f>
        <v>MAQCU</v>
      </c>
    </row>
    <row r="2442">
      <c r="A2442" s="1" t="str">
        <f>IFERROR(__xludf.DUMMYFUNCTION("""COMPUTED_VALUE"""),"MAQCW")</f>
        <v>MAQCW</v>
      </c>
    </row>
    <row r="2443">
      <c r="A2443" s="1" t="str">
        <f>IFERROR(__xludf.DUMMYFUNCTION("""COMPUTED_VALUE"""),"MAR")</f>
        <v>MAR</v>
      </c>
    </row>
    <row r="2444">
      <c r="A2444" s="1" t="str">
        <f>IFERROR(__xludf.DUMMYFUNCTION("""COMPUTED_VALUE"""),"MARA")</f>
        <v>MARA</v>
      </c>
    </row>
    <row r="2445">
      <c r="A2445" s="1" t="str">
        <f>IFERROR(__xludf.DUMMYFUNCTION("""COMPUTED_VALUE"""),"MARK")</f>
        <v>MARK</v>
      </c>
    </row>
    <row r="2446">
      <c r="A2446" s="1" t="str">
        <f>IFERROR(__xludf.DUMMYFUNCTION("""COMPUTED_VALUE"""),"MARPS")</f>
        <v>MARPS</v>
      </c>
    </row>
    <row r="2447">
      <c r="A2447" s="1" t="str">
        <f>IFERROR(__xludf.DUMMYFUNCTION("""COMPUTED_VALUE"""),"MASI")</f>
        <v>MASI</v>
      </c>
    </row>
    <row r="2448">
      <c r="A2448" s="1" t="str">
        <f>IFERROR(__xludf.DUMMYFUNCTION("""COMPUTED_VALUE"""),"MASS")</f>
        <v>MASS</v>
      </c>
    </row>
    <row r="2449">
      <c r="A2449" s="1" t="str">
        <f>IFERROR(__xludf.DUMMYFUNCTION("""COMPUTED_VALUE"""),"MAT")</f>
        <v>MAT</v>
      </c>
    </row>
    <row r="2450">
      <c r="A2450" s="1" t="str">
        <f>IFERROR(__xludf.DUMMYFUNCTION("""COMPUTED_VALUE"""),"MATW")</f>
        <v>MATW</v>
      </c>
    </row>
    <row r="2451">
      <c r="A2451" s="1" t="str">
        <f>IFERROR(__xludf.DUMMYFUNCTION("""COMPUTED_VALUE"""),"MAXN")</f>
        <v>MAXN</v>
      </c>
    </row>
    <row r="2452">
      <c r="A2452" s="1" t="str">
        <f>IFERROR(__xludf.DUMMYFUNCTION("""COMPUTED_VALUE"""),"MAYS")</f>
        <v>MAYS</v>
      </c>
    </row>
    <row r="2453">
      <c r="A2453" s="1" t="str">
        <f>IFERROR(__xludf.DUMMYFUNCTION("""COMPUTED_VALUE"""),"MBCN")</f>
        <v>MBCN</v>
      </c>
    </row>
    <row r="2454">
      <c r="A2454" s="1" t="str">
        <f>IFERROR(__xludf.DUMMYFUNCTION("""COMPUTED_VALUE"""),"MBII")</f>
        <v>MBII</v>
      </c>
    </row>
    <row r="2455">
      <c r="A2455" s="1" t="str">
        <f>IFERROR(__xludf.DUMMYFUNCTION("""COMPUTED_VALUE"""),"MBIN")</f>
        <v>MBIN</v>
      </c>
    </row>
    <row r="2456">
      <c r="A2456" s="1" t="str">
        <f>IFERROR(__xludf.DUMMYFUNCTION("""COMPUTED_VALUE"""),"MBINN")</f>
        <v>MBINN</v>
      </c>
    </row>
    <row r="2457">
      <c r="A2457" s="1" t="str">
        <f>IFERROR(__xludf.DUMMYFUNCTION("""COMPUTED_VALUE"""),"MBINO")</f>
        <v>MBINO</v>
      </c>
    </row>
    <row r="2458">
      <c r="A2458" s="1" t="str">
        <f>IFERROR(__xludf.DUMMYFUNCTION("""COMPUTED_VALUE"""),"MBINP")</f>
        <v>MBINP</v>
      </c>
    </row>
    <row r="2459">
      <c r="A2459" s="1" t="str">
        <f>IFERROR(__xludf.DUMMYFUNCTION("""COMPUTED_VALUE"""),"MBIO")</f>
        <v>MBIO</v>
      </c>
    </row>
    <row r="2460">
      <c r="A2460" s="1" t="str">
        <f>IFERROR(__xludf.DUMMYFUNCTION("""COMPUTED_VALUE"""),"MBNKP")</f>
        <v>MBNKP</v>
      </c>
    </row>
    <row r="2461">
      <c r="A2461" s="1" t="str">
        <f>IFERROR(__xludf.DUMMYFUNCTION("""COMPUTED_VALUE"""),"MBOT")</f>
        <v>MBOT</v>
      </c>
    </row>
    <row r="2462">
      <c r="A2462" s="1" t="str">
        <f>IFERROR(__xludf.DUMMYFUNCTION("""COMPUTED_VALUE"""),"MBRX")</f>
        <v>MBRX</v>
      </c>
    </row>
    <row r="2463">
      <c r="A2463" s="1" t="str">
        <f>IFERROR(__xludf.DUMMYFUNCTION("""COMPUTED_VALUE"""),"MBTC")</f>
        <v>MBTC</v>
      </c>
    </row>
    <row r="2464">
      <c r="A2464" s="1" t="str">
        <f>IFERROR(__xludf.DUMMYFUNCTION("""COMPUTED_VALUE"""),"MBTCR")</f>
        <v>MBTCR</v>
      </c>
    </row>
    <row r="2465">
      <c r="A2465" s="1" t="str">
        <f>IFERROR(__xludf.DUMMYFUNCTION("""COMPUTED_VALUE"""),"MBUU")</f>
        <v>MBUU</v>
      </c>
    </row>
    <row r="2466">
      <c r="A2466" s="1" t="str">
        <f>IFERROR(__xludf.DUMMYFUNCTION("""COMPUTED_VALUE"""),"MBWM")</f>
        <v>MBWM</v>
      </c>
    </row>
    <row r="2467">
      <c r="A2467" s="1" t="str">
        <f>IFERROR(__xludf.DUMMYFUNCTION("""COMPUTED_VALUE"""),"MCAD")</f>
        <v>MCAD</v>
      </c>
    </row>
    <row r="2468">
      <c r="A2468" s="1" t="str">
        <f>IFERROR(__xludf.DUMMYFUNCTION("""COMPUTED_VALUE"""),"MCADR")</f>
        <v>MCADR</v>
      </c>
    </row>
    <row r="2469">
      <c r="A2469" s="1" t="str">
        <f>IFERROR(__xludf.DUMMYFUNCTION("""COMPUTED_VALUE"""),"MCAE")</f>
        <v>MCAE</v>
      </c>
    </row>
    <row r="2470">
      <c r="A2470" s="1" t="str">
        <f>IFERROR(__xludf.DUMMYFUNCTION("""COMPUTED_VALUE"""),"MCAER")</f>
        <v>MCAER</v>
      </c>
    </row>
    <row r="2471">
      <c r="A2471" s="1" t="str">
        <f>IFERROR(__xludf.DUMMYFUNCTION("""COMPUTED_VALUE"""),"MCAEU")</f>
        <v>MCAEU</v>
      </c>
    </row>
    <row r="2472">
      <c r="A2472" s="1" t="str">
        <f>IFERROR(__xludf.DUMMYFUNCTION("""COMPUTED_VALUE"""),"MCAF")</f>
        <v>MCAF</v>
      </c>
    </row>
    <row r="2473">
      <c r="A2473" s="1" t="str">
        <f>IFERROR(__xludf.DUMMYFUNCTION("""COMPUTED_VALUE"""),"MCAFR")</f>
        <v>MCAFR</v>
      </c>
    </row>
    <row r="2474">
      <c r="A2474" s="1" t="str">
        <f>IFERROR(__xludf.DUMMYFUNCTION("""COMPUTED_VALUE"""),"MCAFU")</f>
        <v>MCAFU</v>
      </c>
    </row>
    <row r="2475">
      <c r="A2475" s="1" t="str">
        <f>IFERROR(__xludf.DUMMYFUNCTION("""COMPUTED_VALUE"""),"MCBC")</f>
        <v>MCBC</v>
      </c>
    </row>
    <row r="2476">
      <c r="A2476" s="1" t="str">
        <f>IFERROR(__xludf.DUMMYFUNCTION("""COMPUTED_VALUE"""),"MCBS")</f>
        <v>MCBS</v>
      </c>
    </row>
    <row r="2477">
      <c r="A2477" s="1" t="str">
        <f>IFERROR(__xludf.DUMMYFUNCTION("""COMPUTED_VALUE"""),"MCFE")</f>
        <v>MCFE</v>
      </c>
    </row>
    <row r="2478">
      <c r="A2478" s="1" t="str">
        <f>IFERROR(__xludf.DUMMYFUNCTION("""COMPUTED_VALUE"""),"MCFT")</f>
        <v>MCFT</v>
      </c>
    </row>
    <row r="2479">
      <c r="A2479" s="1" t="str">
        <f>IFERROR(__xludf.DUMMYFUNCTION("""COMPUTED_VALUE"""),"MCHP")</f>
        <v>MCHP</v>
      </c>
    </row>
    <row r="2480">
      <c r="A2480" s="1" t="str">
        <f>IFERROR(__xludf.DUMMYFUNCTION("""COMPUTED_VALUE"""),"MCHX")</f>
        <v>MCHX</v>
      </c>
    </row>
    <row r="2481">
      <c r="A2481" s="1" t="str">
        <f>IFERROR(__xludf.DUMMYFUNCTION("""COMPUTED_VALUE"""),"MCMJ")</f>
        <v>MCMJ</v>
      </c>
    </row>
    <row r="2482">
      <c r="A2482" s="1" t="str">
        <f>IFERROR(__xludf.DUMMYFUNCTION("""COMPUTED_VALUE"""),"MCMJW")</f>
        <v>MCMJW</v>
      </c>
    </row>
    <row r="2483">
      <c r="A2483" s="1" t="str">
        <f>IFERROR(__xludf.DUMMYFUNCTION("""COMPUTED_VALUE"""),"MCRB")</f>
        <v>MCRB</v>
      </c>
    </row>
    <row r="2484">
      <c r="A2484" s="1" t="str">
        <f>IFERROR(__xludf.DUMMYFUNCTION("""COMPUTED_VALUE"""),"MCRI")</f>
        <v>MCRI</v>
      </c>
    </row>
    <row r="2485">
      <c r="A2485" s="1" t="str">
        <f>IFERROR(__xludf.DUMMYFUNCTION("""COMPUTED_VALUE"""),"MDB")</f>
        <v>MDB</v>
      </c>
    </row>
    <row r="2486">
      <c r="A2486" s="1" t="str">
        <f>IFERROR(__xludf.DUMMYFUNCTION("""COMPUTED_VALUE"""),"MDGL")</f>
        <v>MDGL</v>
      </c>
    </row>
    <row r="2487">
      <c r="A2487" s="1" t="str">
        <f>IFERROR(__xludf.DUMMYFUNCTION("""COMPUTED_VALUE"""),"MDGS")</f>
        <v>MDGS</v>
      </c>
    </row>
    <row r="2488">
      <c r="A2488" s="1" t="str">
        <f>IFERROR(__xludf.DUMMYFUNCTION("""COMPUTED_VALUE"""),"MDGSW")</f>
        <v>MDGSW</v>
      </c>
    </row>
    <row r="2489">
      <c r="A2489" s="1" t="str">
        <f>IFERROR(__xludf.DUMMYFUNCTION("""COMPUTED_VALUE"""),"MDIA")</f>
        <v>MDIA</v>
      </c>
    </row>
    <row r="2490">
      <c r="A2490" s="1" t="str">
        <f>IFERROR(__xludf.DUMMYFUNCTION("""COMPUTED_VALUE"""),"MDJH")</f>
        <v>MDJH</v>
      </c>
    </row>
    <row r="2491">
      <c r="A2491" s="1" t="str">
        <f>IFERROR(__xludf.DUMMYFUNCTION("""COMPUTED_VALUE"""),"MDLZ")</f>
        <v>MDLZ</v>
      </c>
    </row>
    <row r="2492">
      <c r="A2492" s="1" t="str">
        <f>IFERROR(__xludf.DUMMYFUNCTION("""COMPUTED_VALUE"""),"MDNA")</f>
        <v>MDNA</v>
      </c>
    </row>
    <row r="2493">
      <c r="A2493" s="1" t="str">
        <f>IFERROR(__xludf.DUMMYFUNCTION("""COMPUTED_VALUE"""),"MDRR")</f>
        <v>MDRR</v>
      </c>
    </row>
    <row r="2494">
      <c r="A2494" s="1" t="str">
        <f>IFERROR(__xludf.DUMMYFUNCTION("""COMPUTED_VALUE"""),"MDRRP")</f>
        <v>MDRRP</v>
      </c>
    </row>
    <row r="2495">
      <c r="A2495" s="1" t="str">
        <f>IFERROR(__xludf.DUMMYFUNCTION("""COMPUTED_VALUE"""),"MDRX")</f>
        <v>MDRX</v>
      </c>
    </row>
    <row r="2496">
      <c r="A2496" s="1" t="str">
        <f>IFERROR(__xludf.DUMMYFUNCTION("""COMPUTED_VALUE"""),"MDVL")</f>
        <v>MDVL</v>
      </c>
    </row>
    <row r="2497">
      <c r="A2497" s="1" t="str">
        <f>IFERROR(__xludf.DUMMYFUNCTION("""COMPUTED_VALUE"""),"MDWD")</f>
        <v>MDWD</v>
      </c>
    </row>
    <row r="2498">
      <c r="A2498" s="1" t="str">
        <f>IFERROR(__xludf.DUMMYFUNCTION("""COMPUTED_VALUE"""),"MDWT")</f>
        <v>MDWT</v>
      </c>
    </row>
    <row r="2499">
      <c r="A2499" s="1" t="str">
        <f>IFERROR(__xludf.DUMMYFUNCTION("""COMPUTED_VALUE"""),"MDXG")</f>
        <v>MDXG</v>
      </c>
    </row>
    <row r="2500">
      <c r="A2500" s="1" t="str">
        <f>IFERROR(__xludf.DUMMYFUNCTION("""COMPUTED_VALUE"""),"ME")</f>
        <v>ME</v>
      </c>
    </row>
    <row r="2501">
      <c r="A2501" s="1" t="str">
        <f>IFERROR(__xludf.DUMMYFUNCTION("""COMPUTED_VALUE"""),"MEACU")</f>
        <v>MEACU</v>
      </c>
    </row>
    <row r="2502">
      <c r="A2502" s="1" t="str">
        <f>IFERROR(__xludf.DUMMYFUNCTION("""COMPUTED_VALUE"""),"MEDP")</f>
        <v>MEDP</v>
      </c>
    </row>
    <row r="2503">
      <c r="A2503" s="1" t="str">
        <f>IFERROR(__xludf.DUMMYFUNCTION("""COMPUTED_VALUE"""),"MEDS")</f>
        <v>MEDS</v>
      </c>
    </row>
    <row r="2504">
      <c r="A2504" s="1" t="str">
        <f>IFERROR(__xludf.DUMMYFUNCTION("""COMPUTED_VALUE"""),"MEIP")</f>
        <v>MEIP</v>
      </c>
    </row>
    <row r="2505">
      <c r="A2505" s="1" t="str">
        <f>IFERROR(__xludf.DUMMYFUNCTION("""COMPUTED_VALUE"""),"MELI")</f>
        <v>MELI</v>
      </c>
    </row>
    <row r="2506">
      <c r="A2506" s="1" t="str">
        <f>IFERROR(__xludf.DUMMYFUNCTION("""COMPUTED_VALUE"""),"MEOH")</f>
        <v>MEOH</v>
      </c>
    </row>
    <row r="2507">
      <c r="A2507" s="1" t="str">
        <f>IFERROR(__xludf.DUMMYFUNCTION("""COMPUTED_VALUE"""),"MERC")</f>
        <v>MERC</v>
      </c>
    </row>
    <row r="2508">
      <c r="A2508" s="1" t="str">
        <f>IFERROR(__xludf.DUMMYFUNCTION("""COMPUTED_VALUE"""),"MESA")</f>
        <v>MESA</v>
      </c>
    </row>
    <row r="2509">
      <c r="A2509" s="1" t="str">
        <f>IFERROR(__xludf.DUMMYFUNCTION("""COMPUTED_VALUE"""),"MESO")</f>
        <v>MESO</v>
      </c>
    </row>
    <row r="2510">
      <c r="A2510" s="1" t="str">
        <f>IFERROR(__xludf.DUMMYFUNCTION("""COMPUTED_VALUE"""),"METC")</f>
        <v>METC</v>
      </c>
    </row>
    <row r="2511">
      <c r="A2511" s="1" t="str">
        <f>IFERROR(__xludf.DUMMYFUNCTION("""COMPUTED_VALUE"""),"METCL")</f>
        <v>METCL</v>
      </c>
    </row>
    <row r="2512">
      <c r="A2512" s="1" t="str">
        <f>IFERROR(__xludf.DUMMYFUNCTION("""COMPUTED_VALUE"""),"METX")</f>
        <v>METX</v>
      </c>
    </row>
    <row r="2513">
      <c r="A2513" s="1" t="str">
        <f>IFERROR(__xludf.DUMMYFUNCTION("""COMPUTED_VALUE"""),"METXW")</f>
        <v>METXW</v>
      </c>
    </row>
    <row r="2514">
      <c r="A2514" s="1" t="str">
        <f>IFERROR(__xludf.DUMMYFUNCTION("""COMPUTED_VALUE"""),"MEUSW")</f>
        <v>MEUSW</v>
      </c>
    </row>
    <row r="2515">
      <c r="A2515" s="1" t="str">
        <f>IFERROR(__xludf.DUMMYFUNCTION("""COMPUTED_VALUE"""),"MF")</f>
        <v>MF</v>
      </c>
    </row>
    <row r="2516">
      <c r="A2516" s="1" t="str">
        <f>IFERROR(__xludf.DUMMYFUNCTION("""COMPUTED_VALUE"""),"MFH")</f>
        <v>MFH</v>
      </c>
    </row>
    <row r="2517">
      <c r="A2517" s="1" t="str">
        <f>IFERROR(__xludf.DUMMYFUNCTION("""COMPUTED_VALUE"""),"MFIN")</f>
        <v>MFIN</v>
      </c>
    </row>
    <row r="2518">
      <c r="A2518" s="1" t="str">
        <f>IFERROR(__xludf.DUMMYFUNCTION("""COMPUTED_VALUE"""),"MFNC")</f>
        <v>MFNC</v>
      </c>
    </row>
    <row r="2519">
      <c r="A2519" s="1" t="str">
        <f>IFERROR(__xludf.DUMMYFUNCTION("""COMPUTED_VALUE"""),"MGEE")</f>
        <v>MGEE</v>
      </c>
    </row>
    <row r="2520">
      <c r="A2520" s="1" t="str">
        <f>IFERROR(__xludf.DUMMYFUNCTION("""COMPUTED_VALUE"""),"MGI")</f>
        <v>MGI</v>
      </c>
    </row>
    <row r="2521">
      <c r="A2521" s="1" t="str">
        <f>IFERROR(__xludf.DUMMYFUNCTION("""COMPUTED_VALUE"""),"MGIC")</f>
        <v>MGIC</v>
      </c>
    </row>
    <row r="2522">
      <c r="A2522" s="1" t="str">
        <f>IFERROR(__xludf.DUMMYFUNCTION("""COMPUTED_VALUE"""),"MGLN")</f>
        <v>MGLN</v>
      </c>
    </row>
    <row r="2523">
      <c r="A2523" s="1" t="str">
        <f>IFERROR(__xludf.DUMMYFUNCTION("""COMPUTED_VALUE"""),"MGNI")</f>
        <v>MGNI</v>
      </c>
    </row>
    <row r="2524">
      <c r="A2524" s="1" t="str">
        <f>IFERROR(__xludf.DUMMYFUNCTION("""COMPUTED_VALUE"""),"MGNX")</f>
        <v>MGNX</v>
      </c>
    </row>
    <row r="2525">
      <c r="A2525" s="1" t="str">
        <f>IFERROR(__xludf.DUMMYFUNCTION("""COMPUTED_VALUE"""),"MGPI")</f>
        <v>MGPI</v>
      </c>
    </row>
    <row r="2526">
      <c r="A2526" s="1" t="str">
        <f>IFERROR(__xludf.DUMMYFUNCTION("""COMPUTED_VALUE"""),"MGRC")</f>
        <v>MGRC</v>
      </c>
    </row>
    <row r="2527">
      <c r="A2527" s="1" t="str">
        <f>IFERROR(__xludf.DUMMYFUNCTION("""COMPUTED_VALUE"""),"MGTA")</f>
        <v>MGTA</v>
      </c>
    </row>
    <row r="2528">
      <c r="A2528" s="1" t="str">
        <f>IFERROR(__xludf.DUMMYFUNCTION("""COMPUTED_VALUE"""),"MGTX")</f>
        <v>MGTX</v>
      </c>
    </row>
    <row r="2529">
      <c r="A2529" s="1" t="str">
        <f>IFERROR(__xludf.DUMMYFUNCTION("""COMPUTED_VALUE"""),"MGYR")</f>
        <v>MGYR</v>
      </c>
    </row>
    <row r="2530">
      <c r="A2530" s="1" t="str">
        <f>IFERROR(__xludf.DUMMYFUNCTION("""COMPUTED_VALUE"""),"MHLD")</f>
        <v>MHLD</v>
      </c>
    </row>
    <row r="2531">
      <c r="A2531" s="1" t="str">
        <f>IFERROR(__xludf.DUMMYFUNCTION("""COMPUTED_VALUE"""),"MICT")</f>
        <v>MICT</v>
      </c>
    </row>
    <row r="2532">
      <c r="A2532" s="1" t="str">
        <f>IFERROR(__xludf.DUMMYFUNCTION("""COMPUTED_VALUE"""),"MIDD")</f>
        <v>MIDD</v>
      </c>
    </row>
    <row r="2533">
      <c r="A2533" s="1" t="str">
        <f>IFERROR(__xludf.DUMMYFUNCTION("""COMPUTED_VALUE"""),"MILE")</f>
        <v>MILE</v>
      </c>
    </row>
    <row r="2534">
      <c r="A2534" s="1" t="str">
        <f>IFERROR(__xludf.DUMMYFUNCTION("""COMPUTED_VALUE"""),"MILEW")</f>
        <v>MILEW</v>
      </c>
    </row>
    <row r="2535">
      <c r="A2535" s="1" t="str">
        <f>IFERROR(__xludf.DUMMYFUNCTION("""COMPUTED_VALUE"""),"MIME")</f>
        <v>MIME</v>
      </c>
    </row>
    <row r="2536">
      <c r="A2536" s="1" t="str">
        <f>IFERROR(__xludf.DUMMYFUNCTION("""COMPUTED_VALUE"""),"MIND")</f>
        <v>MIND</v>
      </c>
    </row>
    <row r="2537">
      <c r="A2537" s="1" t="str">
        <f>IFERROR(__xludf.DUMMYFUNCTION("""COMPUTED_VALUE"""),"MINDP")</f>
        <v>MINDP</v>
      </c>
    </row>
    <row r="2538">
      <c r="A2538" s="1" t="str">
        <f>IFERROR(__xludf.DUMMYFUNCTION("""COMPUTED_VALUE"""),"MINM")</f>
        <v>MINM</v>
      </c>
    </row>
    <row r="2539">
      <c r="A2539" s="1" t="str">
        <f>IFERROR(__xludf.DUMMYFUNCTION("""COMPUTED_VALUE"""),"MIRM")</f>
        <v>MIRM</v>
      </c>
    </row>
    <row r="2540">
      <c r="A2540" s="1" t="str">
        <f>IFERROR(__xludf.DUMMYFUNCTION("""COMPUTED_VALUE"""),"MIRO")</f>
        <v>MIRO</v>
      </c>
    </row>
    <row r="2541">
      <c r="A2541" s="1" t="str">
        <f>IFERROR(__xludf.DUMMYFUNCTION("""COMPUTED_VALUE"""),"MIST")</f>
        <v>MIST</v>
      </c>
    </row>
    <row r="2542">
      <c r="A2542" s="1" t="str">
        <f>IFERROR(__xludf.DUMMYFUNCTION("""COMPUTED_VALUE"""),"MITAU")</f>
        <v>MITAU</v>
      </c>
    </row>
    <row r="2543">
      <c r="A2543" s="1" t="str">
        <f>IFERROR(__xludf.DUMMYFUNCTION("""COMPUTED_VALUE"""),"MITC")</f>
        <v>MITC</v>
      </c>
    </row>
    <row r="2544">
      <c r="A2544" s="1" t="str">
        <f>IFERROR(__xludf.DUMMYFUNCTION("""COMPUTED_VALUE"""),"MITK")</f>
        <v>MITK</v>
      </c>
    </row>
    <row r="2545">
      <c r="A2545" s="1" t="str">
        <f>IFERROR(__xludf.DUMMYFUNCTION("""COMPUTED_VALUE"""),"MITO")</f>
        <v>MITO</v>
      </c>
    </row>
    <row r="2546">
      <c r="A2546" s="1" t="str">
        <f>IFERROR(__xludf.DUMMYFUNCTION("""COMPUTED_VALUE"""),"MKD")</f>
        <v>MKD</v>
      </c>
    </row>
    <row r="2547">
      <c r="A2547" s="1" t="str">
        <f>IFERROR(__xludf.DUMMYFUNCTION("""COMPUTED_VALUE"""),"MKSI")</f>
        <v>MKSI</v>
      </c>
    </row>
    <row r="2548">
      <c r="A2548" s="1" t="str">
        <f>IFERROR(__xludf.DUMMYFUNCTION("""COMPUTED_VALUE"""),"MKTW")</f>
        <v>MKTW</v>
      </c>
    </row>
    <row r="2549">
      <c r="A2549" s="1" t="str">
        <f>IFERROR(__xludf.DUMMYFUNCTION("""COMPUTED_VALUE"""),"MKTWW")</f>
        <v>MKTWW</v>
      </c>
    </row>
    <row r="2550">
      <c r="A2550" s="1" t="str">
        <f>IFERROR(__xludf.DUMMYFUNCTION("""COMPUTED_VALUE"""),"MKTX")</f>
        <v>MKTX</v>
      </c>
    </row>
    <row r="2551">
      <c r="A2551" s="1" t="str">
        <f>IFERROR(__xludf.DUMMYFUNCTION("""COMPUTED_VALUE"""),"MKTY")</f>
        <v>MKTY</v>
      </c>
    </row>
    <row r="2552">
      <c r="A2552" s="1" t="str">
        <f>IFERROR(__xludf.DUMMYFUNCTION("""COMPUTED_VALUE"""),"MLAB")</f>
        <v>MLAB</v>
      </c>
    </row>
    <row r="2553">
      <c r="A2553" s="1" t="str">
        <f>IFERROR(__xludf.DUMMYFUNCTION("""COMPUTED_VALUE"""),"MLAC")</f>
        <v>MLAC</v>
      </c>
    </row>
    <row r="2554">
      <c r="A2554" s="1" t="str">
        <f>IFERROR(__xludf.DUMMYFUNCTION("""COMPUTED_VALUE"""),"MLCO")</f>
        <v>MLCO</v>
      </c>
    </row>
    <row r="2555">
      <c r="A2555" s="1" t="str">
        <f>IFERROR(__xludf.DUMMYFUNCTION("""COMPUTED_VALUE"""),"MLHR")</f>
        <v>MLHR</v>
      </c>
    </row>
    <row r="2556">
      <c r="A2556" s="1" t="str">
        <f>IFERROR(__xludf.DUMMYFUNCTION("""COMPUTED_VALUE"""),"MLVF")</f>
        <v>MLVF</v>
      </c>
    </row>
    <row r="2557">
      <c r="A2557" s="1" t="str">
        <f>IFERROR(__xludf.DUMMYFUNCTION("""COMPUTED_VALUE"""),"MMAC")</f>
        <v>MMAC</v>
      </c>
    </row>
    <row r="2558">
      <c r="A2558" s="1" t="str">
        <f>IFERROR(__xludf.DUMMYFUNCTION("""COMPUTED_VALUE"""),"MMAT")</f>
        <v>MMAT</v>
      </c>
    </row>
    <row r="2559">
      <c r="A2559" s="1" t="str">
        <f>IFERROR(__xludf.DUMMYFUNCTION("""COMPUTED_VALUE"""),"MMLP")</f>
        <v>MMLP</v>
      </c>
    </row>
    <row r="2560">
      <c r="A2560" s="1" t="str">
        <f>IFERROR(__xludf.DUMMYFUNCTION("""COMPUTED_VALUE"""),"MMMB")</f>
        <v>MMMB</v>
      </c>
    </row>
    <row r="2561">
      <c r="A2561" s="1" t="str">
        <f>IFERROR(__xludf.DUMMYFUNCTION("""COMPUTED_VALUE"""),"MMSI")</f>
        <v>MMSI</v>
      </c>
    </row>
    <row r="2562">
      <c r="A2562" s="1" t="str">
        <f>IFERROR(__xludf.DUMMYFUNCTION("""COMPUTED_VALUE"""),"MMYT")</f>
        <v>MMYT</v>
      </c>
    </row>
    <row r="2563">
      <c r="A2563" s="1" t="str">
        <f>IFERROR(__xludf.DUMMYFUNCTION("""COMPUTED_VALUE"""),"MNDO")</f>
        <v>MNDO</v>
      </c>
    </row>
    <row r="2564">
      <c r="A2564" s="1" t="str">
        <f>IFERROR(__xludf.DUMMYFUNCTION("""COMPUTED_VALUE"""),"MNDY")</f>
        <v>MNDY</v>
      </c>
    </row>
    <row r="2565">
      <c r="A2565" s="1" t="str">
        <f>IFERROR(__xludf.DUMMYFUNCTION("""COMPUTED_VALUE"""),"MNKD")</f>
        <v>MNKD</v>
      </c>
    </row>
    <row r="2566">
      <c r="A2566" s="1" t="str">
        <f>IFERROR(__xludf.DUMMYFUNCTION("""COMPUTED_VALUE"""),"MNMD")</f>
        <v>MNMD</v>
      </c>
    </row>
    <row r="2567">
      <c r="A2567" s="1" t="str">
        <f>IFERROR(__xludf.DUMMYFUNCTION("""COMPUTED_VALUE"""),"MNOV")</f>
        <v>MNOV</v>
      </c>
    </row>
    <row r="2568">
      <c r="A2568" s="1" t="str">
        <f>IFERROR(__xludf.DUMMYFUNCTION("""COMPUTED_VALUE"""),"MNPR")</f>
        <v>MNPR</v>
      </c>
    </row>
    <row r="2569">
      <c r="A2569" s="1" t="str">
        <f>IFERROR(__xludf.DUMMYFUNCTION("""COMPUTED_VALUE"""),"MNRO")</f>
        <v>MNRO</v>
      </c>
    </row>
    <row r="2570">
      <c r="A2570" s="1" t="str">
        <f>IFERROR(__xludf.DUMMYFUNCTION("""COMPUTED_VALUE"""),"MNSB")</f>
        <v>MNSB</v>
      </c>
    </row>
    <row r="2571">
      <c r="A2571" s="1" t="str">
        <f>IFERROR(__xludf.DUMMYFUNCTION("""COMPUTED_VALUE"""),"MNSBP")</f>
        <v>MNSBP</v>
      </c>
    </row>
    <row r="2572">
      <c r="A2572" s="1" t="str">
        <f>IFERROR(__xludf.DUMMYFUNCTION("""COMPUTED_VALUE"""),"MNST")</f>
        <v>MNST</v>
      </c>
    </row>
    <row r="2573">
      <c r="A2573" s="1" t="str">
        <f>IFERROR(__xludf.DUMMYFUNCTION("""COMPUTED_VALUE"""),"MNTK")</f>
        <v>MNTK</v>
      </c>
    </row>
    <row r="2574">
      <c r="A2574" s="1" t="str">
        <f>IFERROR(__xludf.DUMMYFUNCTION("""COMPUTED_VALUE"""),"MNTV")</f>
        <v>MNTV</v>
      </c>
    </row>
    <row r="2575">
      <c r="A2575" s="1" t="str">
        <f>IFERROR(__xludf.DUMMYFUNCTION("""COMPUTED_VALUE"""),"MNTX")</f>
        <v>MNTX</v>
      </c>
    </row>
    <row r="2576">
      <c r="A2576" s="1" t="str">
        <f>IFERROR(__xludf.DUMMYFUNCTION("""COMPUTED_VALUE"""),"MODV")</f>
        <v>MODV</v>
      </c>
    </row>
    <row r="2577">
      <c r="A2577" s="1" t="str">
        <f>IFERROR(__xludf.DUMMYFUNCTION("""COMPUTED_VALUE"""),"MOFG")</f>
        <v>MOFG</v>
      </c>
    </row>
    <row r="2578">
      <c r="A2578" s="1" t="str">
        <f>IFERROR(__xludf.DUMMYFUNCTION("""COMPUTED_VALUE"""),"MOGO")</f>
        <v>MOGO</v>
      </c>
    </row>
    <row r="2579">
      <c r="A2579" s="1" t="str">
        <f>IFERROR(__xludf.DUMMYFUNCTION("""COMPUTED_VALUE"""),"MOHO")</f>
        <v>MOHO</v>
      </c>
    </row>
    <row r="2580">
      <c r="A2580" s="1" t="str">
        <f>IFERROR(__xludf.DUMMYFUNCTION("""COMPUTED_VALUE"""),"MOLN")</f>
        <v>MOLN</v>
      </c>
    </row>
    <row r="2581">
      <c r="A2581" s="1" t="str">
        <f>IFERROR(__xludf.DUMMYFUNCTION("""COMPUTED_VALUE"""),"MOMO")</f>
        <v>MOMO</v>
      </c>
    </row>
    <row r="2582">
      <c r="A2582" s="1" t="str">
        <f>IFERROR(__xludf.DUMMYFUNCTION("""COMPUTED_VALUE"""),"MON")</f>
        <v>MON</v>
      </c>
    </row>
    <row r="2583">
      <c r="A2583" s="1" t="str">
        <f>IFERROR(__xludf.DUMMYFUNCTION("""COMPUTED_VALUE"""),"MONCU")</f>
        <v>MONCU</v>
      </c>
    </row>
    <row r="2584">
      <c r="A2584" s="1" t="str">
        <f>IFERROR(__xludf.DUMMYFUNCTION("""COMPUTED_VALUE"""),"MONCW")</f>
        <v>MONCW</v>
      </c>
    </row>
    <row r="2585">
      <c r="A2585" s="1" t="str">
        <f>IFERROR(__xludf.DUMMYFUNCTION("""COMPUTED_VALUE"""),"MOR")</f>
        <v>MOR</v>
      </c>
    </row>
    <row r="2586">
      <c r="A2586" s="1" t="str">
        <f>IFERROR(__xludf.DUMMYFUNCTION("""COMPUTED_VALUE"""),"MORF")</f>
        <v>MORF</v>
      </c>
    </row>
    <row r="2587">
      <c r="A2587" s="1" t="str">
        <f>IFERROR(__xludf.DUMMYFUNCTION("""COMPUTED_VALUE"""),"MORN")</f>
        <v>MORN</v>
      </c>
    </row>
    <row r="2588">
      <c r="A2588" s="1" t="str">
        <f>IFERROR(__xludf.DUMMYFUNCTION("""COMPUTED_VALUE"""),"MOSY")</f>
        <v>MOSY</v>
      </c>
    </row>
    <row r="2589">
      <c r="A2589" s="1" t="str">
        <f>IFERROR(__xludf.DUMMYFUNCTION("""COMPUTED_VALUE"""),"MOTN")</f>
        <v>MOTN</v>
      </c>
    </row>
    <row r="2590">
      <c r="A2590" s="1" t="str">
        <f>IFERROR(__xludf.DUMMYFUNCTION("""COMPUTED_VALUE"""),"MOTNW")</f>
        <v>MOTNW</v>
      </c>
    </row>
    <row r="2591">
      <c r="A2591" s="1" t="str">
        <f>IFERROR(__xludf.DUMMYFUNCTION("""COMPUTED_VALUE"""),"MOTS")</f>
        <v>MOTS</v>
      </c>
    </row>
    <row r="2592">
      <c r="A2592" s="1" t="str">
        <f>IFERROR(__xludf.DUMMYFUNCTION("""COMPUTED_VALUE"""),"MOVE")</f>
        <v>MOVE</v>
      </c>
    </row>
    <row r="2593">
      <c r="A2593" s="1" t="str">
        <f>IFERROR(__xludf.DUMMYFUNCTION("""COMPUTED_VALUE"""),"MOXC")</f>
        <v>MOXC</v>
      </c>
    </row>
    <row r="2594">
      <c r="A2594" s="1" t="str">
        <f>IFERROR(__xludf.DUMMYFUNCTION("""COMPUTED_VALUE"""),"MPAA")</f>
        <v>MPAA</v>
      </c>
    </row>
    <row r="2595">
      <c r="A2595" s="1" t="str">
        <f>IFERROR(__xludf.DUMMYFUNCTION("""COMPUTED_VALUE"""),"MPAC")</f>
        <v>MPAC</v>
      </c>
    </row>
    <row r="2596">
      <c r="A2596" s="1" t="str">
        <f>IFERROR(__xludf.DUMMYFUNCTION("""COMPUTED_VALUE"""),"MPACU")</f>
        <v>MPACU</v>
      </c>
    </row>
    <row r="2597">
      <c r="A2597" s="1" t="str">
        <f>IFERROR(__xludf.DUMMYFUNCTION("""COMPUTED_VALUE"""),"MPB")</f>
        <v>MPB</v>
      </c>
    </row>
    <row r="2598">
      <c r="A2598" s="1" t="str">
        <f>IFERROR(__xludf.DUMMYFUNCTION("""COMPUTED_VALUE"""),"MPWR")</f>
        <v>MPWR</v>
      </c>
    </row>
    <row r="2599">
      <c r="A2599" s="1" t="str">
        <f>IFERROR(__xludf.DUMMYFUNCTION("""COMPUTED_VALUE"""),"MQ")</f>
        <v>MQ</v>
      </c>
    </row>
    <row r="2600">
      <c r="A2600" s="1" t="str">
        <f>IFERROR(__xludf.DUMMYFUNCTION("""COMPUTED_VALUE"""),"MRAC")</f>
        <v>MRAC</v>
      </c>
    </row>
    <row r="2601">
      <c r="A2601" s="1" t="str">
        <f>IFERROR(__xludf.DUMMYFUNCTION("""COMPUTED_VALUE"""),"MRACU")</f>
        <v>MRACU</v>
      </c>
    </row>
    <row r="2602">
      <c r="A2602" s="1" t="str">
        <f>IFERROR(__xludf.DUMMYFUNCTION("""COMPUTED_VALUE"""),"MRACW")</f>
        <v>MRACW</v>
      </c>
    </row>
    <row r="2603">
      <c r="A2603" s="1" t="str">
        <f>IFERROR(__xludf.DUMMYFUNCTION("""COMPUTED_VALUE"""),"MRAM")</f>
        <v>MRAM</v>
      </c>
    </row>
    <row r="2604">
      <c r="A2604" s="1" t="str">
        <f>IFERROR(__xludf.DUMMYFUNCTION("""COMPUTED_VALUE"""),"MRBK")</f>
        <v>MRBK</v>
      </c>
    </row>
    <row r="2605">
      <c r="A2605" s="1" t="str">
        <f>IFERROR(__xludf.DUMMYFUNCTION("""COMPUTED_VALUE"""),"MRCC")</f>
        <v>MRCC</v>
      </c>
    </row>
    <row r="2606">
      <c r="A2606" s="1" t="str">
        <f>IFERROR(__xludf.DUMMYFUNCTION("""COMPUTED_VALUE"""),"MRCY")</f>
        <v>MRCY</v>
      </c>
    </row>
    <row r="2607">
      <c r="A2607" s="1" t="str">
        <f>IFERROR(__xludf.DUMMYFUNCTION("""COMPUTED_VALUE"""),"MREO")</f>
        <v>MREO</v>
      </c>
    </row>
    <row r="2608">
      <c r="A2608" s="1" t="str">
        <f>IFERROR(__xludf.DUMMYFUNCTION("""COMPUTED_VALUE"""),"MRIN")</f>
        <v>MRIN</v>
      </c>
    </row>
    <row r="2609">
      <c r="A2609" s="1" t="str">
        <f>IFERROR(__xludf.DUMMYFUNCTION("""COMPUTED_VALUE"""),"MRKR")</f>
        <v>MRKR</v>
      </c>
    </row>
    <row r="2610">
      <c r="A2610" s="1" t="str">
        <f>IFERROR(__xludf.DUMMYFUNCTION("""COMPUTED_VALUE"""),"MRLN")</f>
        <v>MRLN</v>
      </c>
    </row>
    <row r="2611">
      <c r="A2611" s="1" t="str">
        <f>IFERROR(__xludf.DUMMYFUNCTION("""COMPUTED_VALUE"""),"MRM")</f>
        <v>MRM</v>
      </c>
    </row>
    <row r="2612">
      <c r="A2612" s="1" t="str">
        <f>IFERROR(__xludf.DUMMYFUNCTION("""COMPUTED_VALUE"""),"MRNA")</f>
        <v>MRNA</v>
      </c>
    </row>
    <row r="2613">
      <c r="A2613" s="1" t="str">
        <f>IFERROR(__xludf.DUMMYFUNCTION("""COMPUTED_VALUE"""),"MRNS")</f>
        <v>MRNS</v>
      </c>
    </row>
    <row r="2614">
      <c r="A2614" s="1" t="str">
        <f>IFERROR(__xludf.DUMMYFUNCTION("""COMPUTED_VALUE"""),"MRSN")</f>
        <v>MRSN</v>
      </c>
    </row>
    <row r="2615">
      <c r="A2615" s="1" t="str">
        <f>IFERROR(__xludf.DUMMYFUNCTION("""COMPUTED_VALUE"""),"MRTN")</f>
        <v>MRTN</v>
      </c>
    </row>
    <row r="2616">
      <c r="A2616" s="1" t="str">
        <f>IFERROR(__xludf.DUMMYFUNCTION("""COMPUTED_VALUE"""),"MRTX")</f>
        <v>MRTX</v>
      </c>
    </row>
    <row r="2617">
      <c r="A2617" s="1" t="str">
        <f>IFERROR(__xludf.DUMMYFUNCTION("""COMPUTED_VALUE"""),"MRUS")</f>
        <v>MRUS</v>
      </c>
    </row>
    <row r="2618">
      <c r="A2618" s="1" t="str">
        <f>IFERROR(__xludf.DUMMYFUNCTION("""COMPUTED_VALUE"""),"MRVI")</f>
        <v>MRVI</v>
      </c>
    </row>
    <row r="2619">
      <c r="A2619" s="1" t="str">
        <f>IFERROR(__xludf.DUMMYFUNCTION("""COMPUTED_VALUE"""),"MRVL")</f>
        <v>MRVL</v>
      </c>
    </row>
    <row r="2620">
      <c r="A2620" s="1" t="str">
        <f>IFERROR(__xludf.DUMMYFUNCTION("""COMPUTED_VALUE"""),"MSAC")</f>
        <v>MSAC</v>
      </c>
    </row>
    <row r="2621">
      <c r="A2621" s="1" t="str">
        <f>IFERROR(__xludf.DUMMYFUNCTION("""COMPUTED_VALUE"""),"MSACW")</f>
        <v>MSACW</v>
      </c>
    </row>
    <row r="2622">
      <c r="A2622" s="1" t="str">
        <f>IFERROR(__xludf.DUMMYFUNCTION("""COMPUTED_VALUE"""),"MSBI")</f>
        <v>MSBI</v>
      </c>
    </row>
    <row r="2623">
      <c r="A2623" s="1" t="str">
        <f>IFERROR(__xludf.DUMMYFUNCTION("""COMPUTED_VALUE"""),"MSDA")</f>
        <v>MSDA</v>
      </c>
    </row>
    <row r="2624">
      <c r="A2624" s="1" t="str">
        <f>IFERROR(__xludf.DUMMYFUNCTION("""COMPUTED_VALUE"""),"MSDAU")</f>
        <v>MSDAU</v>
      </c>
    </row>
    <row r="2625">
      <c r="A2625" s="1" t="str">
        <f>IFERROR(__xludf.DUMMYFUNCTION("""COMPUTED_VALUE"""),"MSDAW")</f>
        <v>MSDAW</v>
      </c>
    </row>
    <row r="2626">
      <c r="A2626" s="1" t="str">
        <f>IFERROR(__xludf.DUMMYFUNCTION("""COMPUTED_VALUE"""),"MSEX")</f>
        <v>MSEX</v>
      </c>
    </row>
    <row r="2627">
      <c r="A2627" s="1" t="str">
        <f>IFERROR(__xludf.DUMMYFUNCTION("""COMPUTED_VALUE"""),"MSFT")</f>
        <v>MSFT</v>
      </c>
    </row>
    <row r="2628">
      <c r="A2628" s="1" t="str">
        <f>IFERROR(__xludf.DUMMYFUNCTION("""COMPUTED_VALUE"""),"MSGM")</f>
        <v>MSGM</v>
      </c>
    </row>
    <row r="2629">
      <c r="A2629" s="1" t="str">
        <f>IFERROR(__xludf.DUMMYFUNCTION("""COMPUTED_VALUE"""),"MSON")</f>
        <v>MSON</v>
      </c>
    </row>
    <row r="2630">
      <c r="A2630" s="1" t="str">
        <f>IFERROR(__xludf.DUMMYFUNCTION("""COMPUTED_VALUE"""),"MSTR")</f>
        <v>MSTR</v>
      </c>
    </row>
    <row r="2631">
      <c r="A2631" s="1" t="str">
        <f>IFERROR(__xludf.DUMMYFUNCTION("""COMPUTED_VALUE"""),"MSVB")</f>
        <v>MSVB</v>
      </c>
    </row>
    <row r="2632">
      <c r="A2632" s="1" t="str">
        <f>IFERROR(__xludf.DUMMYFUNCTION("""COMPUTED_VALUE"""),"MTAC")</f>
        <v>MTAC</v>
      </c>
    </row>
    <row r="2633">
      <c r="A2633" s="1" t="str">
        <f>IFERROR(__xludf.DUMMYFUNCTION("""COMPUTED_VALUE"""),"MTACU")</f>
        <v>MTACU</v>
      </c>
    </row>
    <row r="2634">
      <c r="A2634" s="1" t="str">
        <f>IFERROR(__xludf.DUMMYFUNCTION("""COMPUTED_VALUE"""),"MTACW")</f>
        <v>MTACW</v>
      </c>
    </row>
    <row r="2635">
      <c r="A2635" s="1" t="str">
        <f>IFERROR(__xludf.DUMMYFUNCTION("""COMPUTED_VALUE"""),"MTBC")</f>
        <v>MTBC</v>
      </c>
    </row>
    <row r="2636">
      <c r="A2636" s="1" t="str">
        <f>IFERROR(__xludf.DUMMYFUNCTION("""COMPUTED_VALUE"""),"MTBCP")</f>
        <v>MTBCP</v>
      </c>
    </row>
    <row r="2637">
      <c r="A2637" s="1" t="str">
        <f>IFERROR(__xludf.DUMMYFUNCTION("""COMPUTED_VALUE"""),"MTC")</f>
        <v>MTC</v>
      </c>
    </row>
    <row r="2638">
      <c r="A2638" s="1" t="str">
        <f>IFERROR(__xludf.DUMMYFUNCTION("""COMPUTED_VALUE"""),"MTCH")</f>
        <v>MTCH</v>
      </c>
    </row>
    <row r="2639">
      <c r="A2639" s="1" t="str">
        <f>IFERROR(__xludf.DUMMYFUNCTION("""COMPUTED_VALUE"""),"MTCR")</f>
        <v>MTCR</v>
      </c>
    </row>
    <row r="2640">
      <c r="A2640" s="1" t="str">
        <f>IFERROR(__xludf.DUMMYFUNCTION("""COMPUTED_VALUE"""),"MTEM")</f>
        <v>MTEM</v>
      </c>
    </row>
    <row r="2641">
      <c r="A2641" s="1" t="str">
        <f>IFERROR(__xludf.DUMMYFUNCTION("""COMPUTED_VALUE"""),"MTEX")</f>
        <v>MTEX</v>
      </c>
    </row>
    <row r="2642">
      <c r="A2642" s="1" t="str">
        <f>IFERROR(__xludf.DUMMYFUNCTION("""COMPUTED_VALUE"""),"MTLS")</f>
        <v>MTLS</v>
      </c>
    </row>
    <row r="2643">
      <c r="A2643" s="1" t="str">
        <f>IFERROR(__xludf.DUMMYFUNCTION("""COMPUTED_VALUE"""),"MTP")</f>
        <v>MTP</v>
      </c>
    </row>
    <row r="2644">
      <c r="A2644" s="1" t="str">
        <f>IFERROR(__xludf.DUMMYFUNCTION("""COMPUTED_VALUE"""),"MTRX")</f>
        <v>MTRX</v>
      </c>
    </row>
    <row r="2645">
      <c r="A2645" s="1" t="str">
        <f>IFERROR(__xludf.DUMMYFUNCTION("""COMPUTED_VALUE"""),"MTSI")</f>
        <v>MTSI</v>
      </c>
    </row>
    <row r="2646">
      <c r="A2646" s="1" t="str">
        <f>IFERROR(__xludf.DUMMYFUNCTION("""COMPUTED_VALUE"""),"MTTR")</f>
        <v>MTTR</v>
      </c>
    </row>
    <row r="2647">
      <c r="A2647" s="1" t="str">
        <f>IFERROR(__xludf.DUMMYFUNCTION("""COMPUTED_VALUE"""),"MTTRW")</f>
        <v>MTTRW</v>
      </c>
    </row>
    <row r="2648">
      <c r="A2648" s="1" t="str">
        <f>IFERROR(__xludf.DUMMYFUNCTION("""COMPUTED_VALUE"""),"MU")</f>
        <v>MU</v>
      </c>
    </row>
    <row r="2649">
      <c r="A2649" s="1" t="str">
        <f>IFERROR(__xludf.DUMMYFUNCTION("""COMPUTED_VALUE"""),"MUDS")</f>
        <v>MUDS</v>
      </c>
    </row>
    <row r="2650">
      <c r="A2650" s="1" t="str">
        <f>IFERROR(__xludf.DUMMYFUNCTION("""COMPUTED_VALUE"""),"MUDSU")</f>
        <v>MUDSU</v>
      </c>
    </row>
    <row r="2651">
      <c r="A2651" s="1" t="str">
        <f>IFERROR(__xludf.DUMMYFUNCTION("""COMPUTED_VALUE"""),"MUDSW")</f>
        <v>MUDSW</v>
      </c>
    </row>
    <row r="2652">
      <c r="A2652" s="1" t="str">
        <f>IFERROR(__xludf.DUMMYFUNCTION("""COMPUTED_VALUE"""),"MVBF")</f>
        <v>MVBF</v>
      </c>
    </row>
    <row r="2653">
      <c r="A2653" s="1" t="str">
        <f>IFERROR(__xludf.DUMMYFUNCTION("""COMPUTED_VALUE"""),"MVIS")</f>
        <v>MVIS</v>
      </c>
    </row>
    <row r="2654">
      <c r="A2654" s="1" t="str">
        <f>IFERROR(__xludf.DUMMYFUNCTION("""COMPUTED_VALUE"""),"MVST")</f>
        <v>MVST</v>
      </c>
    </row>
    <row r="2655">
      <c r="A2655" s="1" t="str">
        <f>IFERROR(__xludf.DUMMYFUNCTION("""COMPUTED_VALUE"""),"MVSTW")</f>
        <v>MVSTW</v>
      </c>
    </row>
    <row r="2656">
      <c r="A2656" s="1" t="str">
        <f>IFERROR(__xludf.DUMMYFUNCTION("""COMPUTED_VALUE"""),"MXCT")</f>
        <v>MXCT</v>
      </c>
    </row>
    <row r="2657">
      <c r="A2657" s="1" t="str">
        <f>IFERROR(__xludf.DUMMYFUNCTION("""COMPUTED_VALUE"""),"MXIM")</f>
        <v>MXIM</v>
      </c>
    </row>
    <row r="2658">
      <c r="A2658" s="1" t="str">
        <f>IFERROR(__xludf.DUMMYFUNCTION("""COMPUTED_VALUE"""),"MYFW")</f>
        <v>MYFW</v>
      </c>
    </row>
    <row r="2659">
      <c r="A2659" s="1" t="str">
        <f>IFERROR(__xludf.DUMMYFUNCTION("""COMPUTED_VALUE"""),"MYGN")</f>
        <v>MYGN</v>
      </c>
    </row>
    <row r="2660">
      <c r="A2660" s="1" t="str">
        <f>IFERROR(__xludf.DUMMYFUNCTION("""COMPUTED_VALUE"""),"MYMD")</f>
        <v>MYMD</v>
      </c>
    </row>
    <row r="2661">
      <c r="A2661" s="1" t="str">
        <f>IFERROR(__xludf.DUMMYFUNCTION("""COMPUTED_VALUE"""),"MYPS")</f>
        <v>MYPS</v>
      </c>
    </row>
    <row r="2662">
      <c r="A2662" s="1" t="str">
        <f>IFERROR(__xludf.DUMMYFUNCTION("""COMPUTED_VALUE"""),"MYPSW")</f>
        <v>MYPSW</v>
      </c>
    </row>
    <row r="2663">
      <c r="A2663" s="1" t="str">
        <f>IFERROR(__xludf.DUMMYFUNCTION("""COMPUTED_VALUE"""),"MYRG")</f>
        <v>MYRG</v>
      </c>
    </row>
    <row r="2664">
      <c r="A2664" s="1" t="str">
        <f>IFERROR(__xludf.DUMMYFUNCTION("""COMPUTED_VALUE"""),"MYSZ")</f>
        <v>MYSZ</v>
      </c>
    </row>
    <row r="2665">
      <c r="A2665" s="1" t="str">
        <f>IFERROR(__xludf.DUMMYFUNCTION("""COMPUTED_VALUE"""),"NAAC")</f>
        <v>NAAC</v>
      </c>
    </row>
    <row r="2666">
      <c r="A2666" s="1" t="str">
        <f>IFERROR(__xludf.DUMMYFUNCTION("""COMPUTED_VALUE"""),"NAACU")</f>
        <v>NAACU</v>
      </c>
    </row>
    <row r="2667">
      <c r="A2667" s="1" t="str">
        <f>IFERROR(__xludf.DUMMYFUNCTION("""COMPUTED_VALUE"""),"NAACW")</f>
        <v>NAACW</v>
      </c>
    </row>
    <row r="2668">
      <c r="A2668" s="1" t="str">
        <f>IFERROR(__xludf.DUMMYFUNCTION("""COMPUTED_VALUE"""),"NAII")</f>
        <v>NAII</v>
      </c>
    </row>
    <row r="2669">
      <c r="A2669" s="1" t="str">
        <f>IFERROR(__xludf.DUMMYFUNCTION("""COMPUTED_VALUE"""),"NAKD")</f>
        <v>NAKD</v>
      </c>
    </row>
    <row r="2670">
      <c r="A2670" s="1" t="str">
        <f>IFERROR(__xludf.DUMMYFUNCTION("""COMPUTED_VALUE"""),"NAOV")</f>
        <v>NAOV</v>
      </c>
    </row>
    <row r="2671">
      <c r="A2671" s="1" t="str">
        <f>IFERROR(__xludf.DUMMYFUNCTION("""COMPUTED_VALUE"""),"NARI")</f>
        <v>NARI</v>
      </c>
    </row>
    <row r="2672">
      <c r="A2672" s="1" t="str">
        <f>IFERROR(__xludf.DUMMYFUNCTION("""COMPUTED_VALUE"""),"NATH")</f>
        <v>NATH</v>
      </c>
    </row>
    <row r="2673">
      <c r="A2673" s="1" t="str">
        <f>IFERROR(__xludf.DUMMYFUNCTION("""COMPUTED_VALUE"""),"NATI")</f>
        <v>NATI</v>
      </c>
    </row>
    <row r="2674">
      <c r="A2674" s="1" t="str">
        <f>IFERROR(__xludf.DUMMYFUNCTION("""COMPUTED_VALUE"""),"NATR")</f>
        <v>NATR</v>
      </c>
    </row>
    <row r="2675">
      <c r="A2675" s="1" t="str">
        <f>IFERROR(__xludf.DUMMYFUNCTION("""COMPUTED_VALUE"""),"NAUT")</f>
        <v>NAUT</v>
      </c>
    </row>
    <row r="2676">
      <c r="A2676" s="1" t="str">
        <f>IFERROR(__xludf.DUMMYFUNCTION("""COMPUTED_VALUE"""),"NAVI")</f>
        <v>NAVI</v>
      </c>
    </row>
    <row r="2677">
      <c r="A2677" s="1" t="str">
        <f>IFERROR(__xludf.DUMMYFUNCTION("""COMPUTED_VALUE"""),"NBEV")</f>
        <v>NBEV</v>
      </c>
    </row>
    <row r="2678">
      <c r="A2678" s="1" t="str">
        <f>IFERROR(__xludf.DUMMYFUNCTION("""COMPUTED_VALUE"""),"NBIX")</f>
        <v>NBIX</v>
      </c>
    </row>
    <row r="2679">
      <c r="A2679" s="1" t="str">
        <f>IFERROR(__xludf.DUMMYFUNCTION("""COMPUTED_VALUE"""),"NBN")</f>
        <v>NBN</v>
      </c>
    </row>
    <row r="2680">
      <c r="A2680" s="1" t="str">
        <f>IFERROR(__xludf.DUMMYFUNCTION("""COMPUTED_VALUE"""),"NBRV")</f>
        <v>NBRV</v>
      </c>
    </row>
    <row r="2681">
      <c r="A2681" s="1" t="str">
        <f>IFERROR(__xludf.DUMMYFUNCTION("""COMPUTED_VALUE"""),"NBSE")</f>
        <v>NBSE</v>
      </c>
    </row>
    <row r="2682">
      <c r="A2682" s="1" t="str">
        <f>IFERROR(__xludf.DUMMYFUNCTION("""COMPUTED_VALUE"""),"NBST")</f>
        <v>NBST</v>
      </c>
    </row>
    <row r="2683">
      <c r="A2683" s="1" t="str">
        <f>IFERROR(__xludf.DUMMYFUNCTION("""COMPUTED_VALUE"""),"NBSTU")</f>
        <v>NBSTU</v>
      </c>
    </row>
    <row r="2684">
      <c r="A2684" s="1" t="str">
        <f>IFERROR(__xludf.DUMMYFUNCTION("""COMPUTED_VALUE"""),"NBSTW")</f>
        <v>NBSTW</v>
      </c>
    </row>
    <row r="2685">
      <c r="A2685" s="1" t="str">
        <f>IFERROR(__xludf.DUMMYFUNCTION("""COMPUTED_VALUE"""),"NBTB")</f>
        <v>NBTB</v>
      </c>
    </row>
    <row r="2686">
      <c r="A2686" s="1" t="str">
        <f>IFERROR(__xludf.DUMMYFUNCTION("""COMPUTED_VALUE"""),"NBTX")</f>
        <v>NBTX</v>
      </c>
    </row>
    <row r="2687">
      <c r="A2687" s="1" t="str">
        <f>IFERROR(__xludf.DUMMYFUNCTION("""COMPUTED_VALUE"""),"NCBS")</f>
        <v>NCBS</v>
      </c>
    </row>
    <row r="2688">
      <c r="A2688" s="1" t="str">
        <f>IFERROR(__xludf.DUMMYFUNCTION("""COMPUTED_VALUE"""),"NCMI")</f>
        <v>NCMI</v>
      </c>
    </row>
    <row r="2689">
      <c r="A2689" s="1" t="str">
        <f>IFERROR(__xludf.DUMMYFUNCTION("""COMPUTED_VALUE"""),"NCNA")</f>
        <v>NCNA</v>
      </c>
    </row>
    <row r="2690">
      <c r="A2690" s="1" t="str">
        <f>IFERROR(__xludf.DUMMYFUNCTION("""COMPUTED_VALUE"""),"NCNO")</f>
        <v>NCNO</v>
      </c>
    </row>
    <row r="2691">
      <c r="A2691" s="1" t="str">
        <f>IFERROR(__xludf.DUMMYFUNCTION("""COMPUTED_VALUE"""),"NCSM")</f>
        <v>NCSM</v>
      </c>
    </row>
    <row r="2692">
      <c r="A2692" s="1" t="str">
        <f>IFERROR(__xludf.DUMMYFUNCTION("""COMPUTED_VALUE"""),"NCTY")</f>
        <v>NCTY</v>
      </c>
    </row>
    <row r="2693">
      <c r="A2693" s="1" t="str">
        <f>IFERROR(__xludf.DUMMYFUNCTION("""COMPUTED_VALUE"""),"NDAC")</f>
        <v>NDAC</v>
      </c>
    </row>
    <row r="2694">
      <c r="A2694" s="1" t="str">
        <f>IFERROR(__xludf.DUMMYFUNCTION("""COMPUTED_VALUE"""),"NDACU")</f>
        <v>NDACU</v>
      </c>
    </row>
    <row r="2695">
      <c r="A2695" s="1" t="str">
        <f>IFERROR(__xludf.DUMMYFUNCTION("""COMPUTED_VALUE"""),"NDACW")</f>
        <v>NDACW</v>
      </c>
    </row>
    <row r="2696">
      <c r="A2696" s="1" t="str">
        <f>IFERROR(__xludf.DUMMYFUNCTION("""COMPUTED_VALUE"""),"NDAQ")</f>
        <v>NDAQ</v>
      </c>
    </row>
    <row r="2697">
      <c r="A2697" s="1" t="str">
        <f>IFERROR(__xludf.DUMMYFUNCTION("""COMPUTED_VALUE"""),"NDLS")</f>
        <v>NDLS</v>
      </c>
    </row>
    <row r="2698">
      <c r="A2698" s="1" t="str">
        <f>IFERROR(__xludf.DUMMYFUNCTION("""COMPUTED_VALUE"""),"NDRA")</f>
        <v>NDRA</v>
      </c>
    </row>
    <row r="2699">
      <c r="A2699" s="1" t="str">
        <f>IFERROR(__xludf.DUMMYFUNCTION("""COMPUTED_VALUE"""),"NDRAW")</f>
        <v>NDRAW</v>
      </c>
    </row>
    <row r="2700">
      <c r="A2700" s="1" t="str">
        <f>IFERROR(__xludf.DUMMYFUNCTION("""COMPUTED_VALUE"""),"NDSN")</f>
        <v>NDSN</v>
      </c>
    </row>
    <row r="2701">
      <c r="A2701" s="1" t="str">
        <f>IFERROR(__xludf.DUMMYFUNCTION("""COMPUTED_VALUE"""),"NECB")</f>
        <v>NECB</v>
      </c>
    </row>
    <row r="2702">
      <c r="A2702" s="1" t="str">
        <f>IFERROR(__xludf.DUMMYFUNCTION("""COMPUTED_VALUE"""),"NEGG")</f>
        <v>NEGG</v>
      </c>
    </row>
    <row r="2703">
      <c r="A2703" s="1" t="str">
        <f>IFERROR(__xludf.DUMMYFUNCTION("""COMPUTED_VALUE"""),"NEO")</f>
        <v>NEO</v>
      </c>
    </row>
    <row r="2704">
      <c r="A2704" s="1" t="str">
        <f>IFERROR(__xludf.DUMMYFUNCTION("""COMPUTED_VALUE"""),"NEOG")</f>
        <v>NEOG</v>
      </c>
    </row>
    <row r="2705">
      <c r="A2705" s="1" t="str">
        <f>IFERROR(__xludf.DUMMYFUNCTION("""COMPUTED_VALUE"""),"NEON")</f>
        <v>NEON</v>
      </c>
    </row>
    <row r="2706">
      <c r="A2706" s="1" t="str">
        <f>IFERROR(__xludf.DUMMYFUNCTION("""COMPUTED_VALUE"""),"NEPH")</f>
        <v>NEPH</v>
      </c>
    </row>
    <row r="2707">
      <c r="A2707" s="1" t="str">
        <f>IFERROR(__xludf.DUMMYFUNCTION("""COMPUTED_VALUE"""),"NEPT")</f>
        <v>NEPT</v>
      </c>
    </row>
    <row r="2708">
      <c r="A2708" s="1" t="str">
        <f>IFERROR(__xludf.DUMMYFUNCTION("""COMPUTED_VALUE"""),"NERV")</f>
        <v>NERV</v>
      </c>
    </row>
    <row r="2709">
      <c r="A2709" s="1" t="str">
        <f>IFERROR(__xludf.DUMMYFUNCTION("""COMPUTED_VALUE"""),"NESR")</f>
        <v>NESR</v>
      </c>
    </row>
    <row r="2710">
      <c r="A2710" s="1" t="str">
        <f>IFERROR(__xludf.DUMMYFUNCTION("""COMPUTED_VALUE"""),"NESRW")</f>
        <v>NESRW</v>
      </c>
    </row>
    <row r="2711">
      <c r="A2711" s="1" t="str">
        <f>IFERROR(__xludf.DUMMYFUNCTION("""COMPUTED_VALUE"""),"NETE")</f>
        <v>NETE</v>
      </c>
    </row>
    <row r="2712">
      <c r="A2712" s="1" t="str">
        <f>IFERROR(__xludf.DUMMYFUNCTION("""COMPUTED_VALUE"""),"NEWT")</f>
        <v>NEWT</v>
      </c>
    </row>
    <row r="2713">
      <c r="A2713" s="1" t="str">
        <f>IFERROR(__xludf.DUMMYFUNCTION("""COMPUTED_VALUE"""),"NEWTL")</f>
        <v>NEWTL</v>
      </c>
    </row>
    <row r="2714">
      <c r="A2714" s="1" t="str">
        <f>IFERROR(__xludf.DUMMYFUNCTION("""COMPUTED_VALUE"""),"NEWTZ")</f>
        <v>NEWTZ</v>
      </c>
    </row>
    <row r="2715">
      <c r="A2715" s="1" t="str">
        <f>IFERROR(__xludf.DUMMYFUNCTION("""COMPUTED_VALUE"""),"NEXI")</f>
        <v>NEXI</v>
      </c>
    </row>
    <row r="2716">
      <c r="A2716" s="1" t="str">
        <f>IFERROR(__xludf.DUMMYFUNCTION("""COMPUTED_VALUE"""),"NEXT")</f>
        <v>NEXT</v>
      </c>
    </row>
    <row r="2717">
      <c r="A2717" s="1" t="str">
        <f>IFERROR(__xludf.DUMMYFUNCTION("""COMPUTED_VALUE"""),"NFBK")</f>
        <v>NFBK</v>
      </c>
    </row>
    <row r="2718">
      <c r="A2718" s="1" t="str">
        <f>IFERROR(__xludf.DUMMYFUNCTION("""COMPUTED_VALUE"""),"NFE")</f>
        <v>NFE</v>
      </c>
    </row>
    <row r="2719">
      <c r="A2719" s="1" t="str">
        <f>IFERROR(__xludf.DUMMYFUNCTION("""COMPUTED_VALUE"""),"NFLX")</f>
        <v>NFLX</v>
      </c>
    </row>
    <row r="2720">
      <c r="A2720" s="1" t="str">
        <f>IFERROR(__xludf.DUMMYFUNCTION("""COMPUTED_VALUE"""),"NGAC")</f>
        <v>NGAC</v>
      </c>
    </row>
    <row r="2721">
      <c r="A2721" s="1" t="str">
        <f>IFERROR(__xludf.DUMMYFUNCTION("""COMPUTED_VALUE"""),"NGACU")</f>
        <v>NGACU</v>
      </c>
    </row>
    <row r="2722">
      <c r="A2722" s="1" t="str">
        <f>IFERROR(__xludf.DUMMYFUNCTION("""COMPUTED_VALUE"""),"NGACW")</f>
        <v>NGACW</v>
      </c>
    </row>
    <row r="2723">
      <c r="A2723" s="1" t="str">
        <f>IFERROR(__xludf.DUMMYFUNCTION("""COMPUTED_VALUE"""),"NGCA")</f>
        <v>NGCA</v>
      </c>
    </row>
    <row r="2724">
      <c r="A2724" s="1" t="str">
        <f>IFERROR(__xludf.DUMMYFUNCTION("""COMPUTED_VALUE"""),"NGCAU")</f>
        <v>NGCAU</v>
      </c>
    </row>
    <row r="2725">
      <c r="A2725" s="1" t="str">
        <f>IFERROR(__xludf.DUMMYFUNCTION("""COMPUTED_VALUE"""),"NGCAW")</f>
        <v>NGCAW</v>
      </c>
    </row>
    <row r="2726">
      <c r="A2726" s="1" t="str">
        <f>IFERROR(__xludf.DUMMYFUNCTION("""COMPUTED_VALUE"""),"NGM")</f>
        <v>NGM</v>
      </c>
    </row>
    <row r="2727">
      <c r="A2727" s="1" t="str">
        <f>IFERROR(__xludf.DUMMYFUNCTION("""COMPUTED_VALUE"""),"NGMS")</f>
        <v>NGMS</v>
      </c>
    </row>
    <row r="2728">
      <c r="A2728" s="1" t="str">
        <f>IFERROR(__xludf.DUMMYFUNCTION("""COMPUTED_VALUE"""),"NH")</f>
        <v>NH</v>
      </c>
    </row>
    <row r="2729">
      <c r="A2729" s="1" t="str">
        <f>IFERROR(__xludf.DUMMYFUNCTION("""COMPUTED_VALUE"""),"NHTC")</f>
        <v>NHTC</v>
      </c>
    </row>
    <row r="2730">
      <c r="A2730" s="1" t="str">
        <f>IFERROR(__xludf.DUMMYFUNCTION("""COMPUTED_VALUE"""),"NICE")</f>
        <v>NICE</v>
      </c>
    </row>
    <row r="2731">
      <c r="A2731" s="1" t="str">
        <f>IFERROR(__xludf.DUMMYFUNCTION("""COMPUTED_VALUE"""),"NICK")</f>
        <v>NICK</v>
      </c>
    </row>
    <row r="2732">
      <c r="A2732" s="1" t="str">
        <f>IFERROR(__xludf.DUMMYFUNCTION("""COMPUTED_VALUE"""),"NISN")</f>
        <v>NISN</v>
      </c>
    </row>
    <row r="2733">
      <c r="A2733" s="1" t="str">
        <f>IFERROR(__xludf.DUMMYFUNCTION("""COMPUTED_VALUE"""),"NIU")</f>
        <v>NIU</v>
      </c>
    </row>
    <row r="2734">
      <c r="A2734" s="1" t="str">
        <f>IFERROR(__xludf.DUMMYFUNCTION("""COMPUTED_VALUE"""),"NKLA")</f>
        <v>NKLA</v>
      </c>
    </row>
    <row r="2735">
      <c r="A2735" s="1" t="str">
        <f>IFERROR(__xludf.DUMMYFUNCTION("""COMPUTED_VALUE"""),"NKSH")</f>
        <v>NKSH</v>
      </c>
    </row>
    <row r="2736">
      <c r="A2736" s="1" t="str">
        <f>IFERROR(__xludf.DUMMYFUNCTION("""COMPUTED_VALUE"""),"NKTR")</f>
        <v>NKTR</v>
      </c>
    </row>
    <row r="2737">
      <c r="A2737" s="1" t="str">
        <f>IFERROR(__xludf.DUMMYFUNCTION("""COMPUTED_VALUE"""),"NKTX")</f>
        <v>NKTX</v>
      </c>
    </row>
    <row r="2738">
      <c r="A2738" s="1" t="str">
        <f>IFERROR(__xludf.DUMMYFUNCTION("""COMPUTED_VALUE"""),"NLITU")</f>
        <v>NLITU</v>
      </c>
    </row>
    <row r="2739">
      <c r="A2739" s="1" t="str">
        <f>IFERROR(__xludf.DUMMYFUNCTION("""COMPUTED_VALUE"""),"NLOK")</f>
        <v>NLOK</v>
      </c>
    </row>
    <row r="2740">
      <c r="A2740" s="1" t="str">
        <f>IFERROR(__xludf.DUMMYFUNCTION("""COMPUTED_VALUE"""),"NLSP")</f>
        <v>NLSP</v>
      </c>
    </row>
    <row r="2741">
      <c r="A2741" s="1" t="str">
        <f>IFERROR(__xludf.DUMMYFUNCTION("""COMPUTED_VALUE"""),"NLSPW")</f>
        <v>NLSPW</v>
      </c>
    </row>
    <row r="2742">
      <c r="A2742" s="1" t="str">
        <f>IFERROR(__xludf.DUMMYFUNCTION("""COMPUTED_VALUE"""),"NLTX")</f>
        <v>NLTX</v>
      </c>
    </row>
    <row r="2743">
      <c r="A2743" s="1" t="str">
        <f>IFERROR(__xludf.DUMMYFUNCTION("""COMPUTED_VALUE"""),"NMFC")</f>
        <v>NMFC</v>
      </c>
    </row>
    <row r="2744">
      <c r="A2744" s="1" t="str">
        <f>IFERROR(__xludf.DUMMYFUNCTION("""COMPUTED_VALUE"""),"NMIH")</f>
        <v>NMIH</v>
      </c>
    </row>
    <row r="2745">
      <c r="A2745" s="1" t="str">
        <f>IFERROR(__xludf.DUMMYFUNCTION("""COMPUTED_VALUE"""),"NMMC")</f>
        <v>NMMC</v>
      </c>
    </row>
    <row r="2746">
      <c r="A2746" s="1" t="str">
        <f>IFERROR(__xludf.DUMMYFUNCTION("""COMPUTED_VALUE"""),"NMRD")</f>
        <v>NMRD</v>
      </c>
    </row>
    <row r="2747">
      <c r="A2747" s="1" t="str">
        <f>IFERROR(__xludf.DUMMYFUNCTION("""COMPUTED_VALUE"""),"NMRK")</f>
        <v>NMRK</v>
      </c>
    </row>
    <row r="2748">
      <c r="A2748" s="1" t="str">
        <f>IFERROR(__xludf.DUMMYFUNCTION("""COMPUTED_VALUE"""),"NMTC")</f>
        <v>NMTC</v>
      </c>
    </row>
    <row r="2749">
      <c r="A2749" s="1" t="str">
        <f>IFERROR(__xludf.DUMMYFUNCTION("""COMPUTED_VALUE"""),"NMTR")</f>
        <v>NMTR</v>
      </c>
    </row>
    <row r="2750">
      <c r="A2750" s="1" t="str">
        <f>IFERROR(__xludf.DUMMYFUNCTION("""COMPUTED_VALUE"""),"NNBR")</f>
        <v>NNBR</v>
      </c>
    </row>
    <row r="2751">
      <c r="A2751" s="1" t="str">
        <f>IFERROR(__xludf.DUMMYFUNCTION("""COMPUTED_VALUE"""),"NNDM")</f>
        <v>NNDM</v>
      </c>
    </row>
    <row r="2752">
      <c r="A2752" s="1" t="str">
        <f>IFERROR(__xludf.DUMMYFUNCTION("""COMPUTED_VALUE"""),"NNOX")</f>
        <v>NNOX</v>
      </c>
    </row>
    <row r="2753">
      <c r="A2753" s="1" t="str">
        <f>IFERROR(__xludf.DUMMYFUNCTION("""COMPUTED_VALUE"""),"NOAC")</f>
        <v>NOAC</v>
      </c>
    </row>
    <row r="2754">
      <c r="A2754" s="1" t="str">
        <f>IFERROR(__xludf.DUMMYFUNCTION("""COMPUTED_VALUE"""),"NOACU")</f>
        <v>NOACU</v>
      </c>
    </row>
    <row r="2755">
      <c r="A2755" s="1" t="str">
        <f>IFERROR(__xludf.DUMMYFUNCTION("""COMPUTED_VALUE"""),"NOACW")</f>
        <v>NOACW</v>
      </c>
    </row>
    <row r="2756">
      <c r="A2756" s="1" t="str">
        <f>IFERROR(__xludf.DUMMYFUNCTION("""COMPUTED_VALUE"""),"NODK")</f>
        <v>NODK</v>
      </c>
    </row>
    <row r="2757">
      <c r="A2757" s="1" t="str">
        <f>IFERROR(__xludf.DUMMYFUNCTION("""COMPUTED_VALUE"""),"NOTV")</f>
        <v>NOTV</v>
      </c>
    </row>
    <row r="2758">
      <c r="A2758" s="1" t="str">
        <f>IFERROR(__xludf.DUMMYFUNCTION("""COMPUTED_VALUE"""),"NOVN")</f>
        <v>NOVN</v>
      </c>
    </row>
    <row r="2759">
      <c r="A2759" s="1" t="str">
        <f>IFERROR(__xludf.DUMMYFUNCTION("""COMPUTED_VALUE"""),"NOVT")</f>
        <v>NOVT</v>
      </c>
    </row>
    <row r="2760">
      <c r="A2760" s="1" t="str">
        <f>IFERROR(__xludf.DUMMYFUNCTION("""COMPUTED_VALUE"""),"NPCE")</f>
        <v>NPCE</v>
      </c>
    </row>
    <row r="2761">
      <c r="A2761" s="1" t="str">
        <f>IFERROR(__xludf.DUMMYFUNCTION("""COMPUTED_VALUE"""),"NRAC")</f>
        <v>NRAC</v>
      </c>
    </row>
    <row r="2762">
      <c r="A2762" s="1" t="str">
        <f>IFERROR(__xludf.DUMMYFUNCTION("""COMPUTED_VALUE"""),"NRACU")</f>
        <v>NRACU</v>
      </c>
    </row>
    <row r="2763">
      <c r="A2763" s="1" t="str">
        <f>IFERROR(__xludf.DUMMYFUNCTION("""COMPUTED_VALUE"""),"NRACW")</f>
        <v>NRACW</v>
      </c>
    </row>
    <row r="2764">
      <c r="A2764" s="1" t="str">
        <f>IFERROR(__xludf.DUMMYFUNCTION("""COMPUTED_VALUE"""),"NRBO")</f>
        <v>NRBO</v>
      </c>
    </row>
    <row r="2765">
      <c r="A2765" s="1" t="str">
        <f>IFERROR(__xludf.DUMMYFUNCTION("""COMPUTED_VALUE"""),"NRC")</f>
        <v>NRC</v>
      </c>
    </row>
    <row r="2766">
      <c r="A2766" s="1" t="str">
        <f>IFERROR(__xludf.DUMMYFUNCTION("""COMPUTED_VALUE"""),"NRIM")</f>
        <v>NRIM</v>
      </c>
    </row>
    <row r="2767">
      <c r="A2767" s="1" t="str">
        <f>IFERROR(__xludf.DUMMYFUNCTION("""COMPUTED_VALUE"""),"NRIX")</f>
        <v>NRIX</v>
      </c>
    </row>
    <row r="2768">
      <c r="A2768" s="1" t="str">
        <f>IFERROR(__xludf.DUMMYFUNCTION("""COMPUTED_VALUE"""),"NRXP")</f>
        <v>NRXP</v>
      </c>
    </row>
    <row r="2769">
      <c r="A2769" s="1" t="str">
        <f>IFERROR(__xludf.DUMMYFUNCTION("""COMPUTED_VALUE"""),"NRXPW")</f>
        <v>NRXPW</v>
      </c>
    </row>
    <row r="2770">
      <c r="A2770" s="1" t="str">
        <f>IFERROR(__xludf.DUMMYFUNCTION("""COMPUTED_VALUE"""),"NSEC")</f>
        <v>NSEC</v>
      </c>
    </row>
    <row r="2771">
      <c r="A2771" s="1" t="str">
        <f>IFERROR(__xludf.DUMMYFUNCTION("""COMPUTED_VALUE"""),"NSIT")</f>
        <v>NSIT</v>
      </c>
    </row>
    <row r="2772">
      <c r="A2772" s="1" t="str">
        <f>IFERROR(__xludf.DUMMYFUNCTION("""COMPUTED_VALUE"""),"NSPR")</f>
        <v>NSPR</v>
      </c>
    </row>
    <row r="2773">
      <c r="A2773" s="1" t="str">
        <f>IFERROR(__xludf.DUMMYFUNCTION("""COMPUTED_VALUE"""),"NSPRZ")</f>
        <v>NSPRZ</v>
      </c>
    </row>
    <row r="2774">
      <c r="A2774" s="1" t="str">
        <f>IFERROR(__xludf.DUMMYFUNCTION("""COMPUTED_VALUE"""),"NSSC")</f>
        <v>NSSC</v>
      </c>
    </row>
    <row r="2775">
      <c r="A2775" s="1" t="str">
        <f>IFERROR(__xludf.DUMMYFUNCTION("""COMPUTED_VALUE"""),"NSTG")</f>
        <v>NSTG</v>
      </c>
    </row>
    <row r="2776">
      <c r="A2776" s="1" t="str">
        <f>IFERROR(__xludf.DUMMYFUNCTION("""COMPUTED_VALUE"""),"NSYS")</f>
        <v>NSYS</v>
      </c>
    </row>
    <row r="2777">
      <c r="A2777" s="1" t="str">
        <f>IFERROR(__xludf.DUMMYFUNCTION("""COMPUTED_VALUE"""),"NTAP")</f>
        <v>NTAP</v>
      </c>
    </row>
    <row r="2778">
      <c r="A2778" s="1" t="str">
        <f>IFERROR(__xludf.DUMMYFUNCTION("""COMPUTED_VALUE"""),"NTCT")</f>
        <v>NTCT</v>
      </c>
    </row>
    <row r="2779">
      <c r="A2779" s="1" t="str">
        <f>IFERROR(__xludf.DUMMYFUNCTION("""COMPUTED_VALUE"""),"NTES")</f>
        <v>NTES</v>
      </c>
    </row>
    <row r="2780">
      <c r="A2780" s="1" t="str">
        <f>IFERROR(__xludf.DUMMYFUNCTION("""COMPUTED_VALUE"""),"NTGR")</f>
        <v>NTGR</v>
      </c>
    </row>
    <row r="2781">
      <c r="A2781" s="1" t="str">
        <f>IFERROR(__xludf.DUMMYFUNCTION("""COMPUTED_VALUE"""),"NTIC")</f>
        <v>NTIC</v>
      </c>
    </row>
    <row r="2782">
      <c r="A2782" s="1" t="str">
        <f>IFERROR(__xludf.DUMMYFUNCTION("""COMPUTED_VALUE"""),"NTLA")</f>
        <v>NTLA</v>
      </c>
    </row>
    <row r="2783">
      <c r="A2783" s="1" t="str">
        <f>IFERROR(__xludf.DUMMYFUNCTION("""COMPUTED_VALUE"""),"NTNX")</f>
        <v>NTNX</v>
      </c>
    </row>
    <row r="2784">
      <c r="A2784" s="1" t="str">
        <f>IFERROR(__xludf.DUMMYFUNCTION("""COMPUTED_VALUE"""),"NTRA")</f>
        <v>NTRA</v>
      </c>
    </row>
    <row r="2785">
      <c r="A2785" s="1" t="str">
        <f>IFERROR(__xludf.DUMMYFUNCTION("""COMPUTED_VALUE"""),"NTRS")</f>
        <v>NTRS</v>
      </c>
    </row>
    <row r="2786">
      <c r="A2786" s="1" t="str">
        <f>IFERROR(__xludf.DUMMYFUNCTION("""COMPUTED_VALUE"""),"NTRSO")</f>
        <v>NTRSO</v>
      </c>
    </row>
    <row r="2787">
      <c r="A2787" s="1" t="str">
        <f>IFERROR(__xludf.DUMMYFUNCTION("""COMPUTED_VALUE"""),"NTUS")</f>
        <v>NTUS</v>
      </c>
    </row>
    <row r="2788">
      <c r="A2788" s="1" t="str">
        <f>IFERROR(__xludf.DUMMYFUNCTION("""COMPUTED_VALUE"""),"NTWK")</f>
        <v>NTWK</v>
      </c>
    </row>
    <row r="2789">
      <c r="A2789" s="1" t="str">
        <f>IFERROR(__xludf.DUMMYFUNCTION("""COMPUTED_VALUE"""),"NUAN")</f>
        <v>NUAN</v>
      </c>
    </row>
    <row r="2790">
      <c r="A2790" s="1" t="str">
        <f>IFERROR(__xludf.DUMMYFUNCTION("""COMPUTED_VALUE"""),"NURO")</f>
        <v>NURO</v>
      </c>
    </row>
    <row r="2791">
      <c r="A2791" s="1" t="str">
        <f>IFERROR(__xludf.DUMMYFUNCTION("""COMPUTED_VALUE"""),"NUVA")</f>
        <v>NUVA</v>
      </c>
    </row>
    <row r="2792">
      <c r="A2792" s="1" t="str">
        <f>IFERROR(__xludf.DUMMYFUNCTION("""COMPUTED_VALUE"""),"NUVL")</f>
        <v>NUVL</v>
      </c>
    </row>
    <row r="2793">
      <c r="A2793" s="1" t="str">
        <f>IFERROR(__xludf.DUMMYFUNCTION("""COMPUTED_VALUE"""),"NUWE")</f>
        <v>NUWE</v>
      </c>
    </row>
    <row r="2794">
      <c r="A2794" s="1" t="str">
        <f>IFERROR(__xludf.DUMMYFUNCTION("""COMPUTED_VALUE"""),"NUZE")</f>
        <v>NUZE</v>
      </c>
    </row>
    <row r="2795">
      <c r="A2795" s="1" t="str">
        <f>IFERROR(__xludf.DUMMYFUNCTION("""COMPUTED_VALUE"""),"NVAX")</f>
        <v>NVAX</v>
      </c>
    </row>
    <row r="2796">
      <c r="A2796" s="1" t="str">
        <f>IFERROR(__xludf.DUMMYFUNCTION("""COMPUTED_VALUE"""),"NVCN")</f>
        <v>NVCN</v>
      </c>
    </row>
    <row r="2797">
      <c r="A2797" s="1" t="str">
        <f>IFERROR(__xludf.DUMMYFUNCTION("""COMPUTED_VALUE"""),"NVCR")</f>
        <v>NVCR</v>
      </c>
    </row>
    <row r="2798">
      <c r="A2798" s="1" t="str">
        <f>IFERROR(__xludf.DUMMYFUNCTION("""COMPUTED_VALUE"""),"NVDA")</f>
        <v>NVDA</v>
      </c>
    </row>
    <row r="2799">
      <c r="A2799" s="1" t="str">
        <f>IFERROR(__xludf.DUMMYFUNCTION("""COMPUTED_VALUE"""),"NVEC")</f>
        <v>NVEC</v>
      </c>
    </row>
    <row r="2800">
      <c r="A2800" s="1" t="str">
        <f>IFERROR(__xludf.DUMMYFUNCTION("""COMPUTED_VALUE"""),"NVEE")</f>
        <v>NVEE</v>
      </c>
    </row>
    <row r="2801">
      <c r="A2801" s="1" t="str">
        <f>IFERROR(__xludf.DUMMYFUNCTION("""COMPUTED_VALUE"""),"NVFY")</f>
        <v>NVFY</v>
      </c>
    </row>
    <row r="2802">
      <c r="A2802" s="1" t="str">
        <f>IFERROR(__xludf.DUMMYFUNCTION("""COMPUTED_VALUE"""),"NVIV")</f>
        <v>NVIV</v>
      </c>
    </row>
    <row r="2803">
      <c r="A2803" s="1" t="str">
        <f>IFERROR(__xludf.DUMMYFUNCTION("""COMPUTED_VALUE"""),"NVMI")</f>
        <v>NVMI</v>
      </c>
    </row>
    <row r="2804">
      <c r="A2804" s="1" t="str">
        <f>IFERROR(__xludf.DUMMYFUNCTION("""COMPUTED_VALUE"""),"NVOS")</f>
        <v>NVOS</v>
      </c>
    </row>
    <row r="2805">
      <c r="A2805" s="1" t="str">
        <f>IFERROR(__xludf.DUMMYFUNCTION("""COMPUTED_VALUE"""),"NVSA")</f>
        <v>NVSA</v>
      </c>
    </row>
    <row r="2806">
      <c r="A2806" s="1" t="str">
        <f>IFERROR(__xludf.DUMMYFUNCTION("""COMPUTED_VALUE"""),"NVSAU")</f>
        <v>NVSAU</v>
      </c>
    </row>
    <row r="2807">
      <c r="A2807" s="1" t="str">
        <f>IFERROR(__xludf.DUMMYFUNCTION("""COMPUTED_VALUE"""),"NVSAW")</f>
        <v>NVSAW</v>
      </c>
    </row>
    <row r="2808">
      <c r="A2808" s="1" t="str">
        <f>IFERROR(__xludf.DUMMYFUNCTION("""COMPUTED_VALUE"""),"NVVE")</f>
        <v>NVVE</v>
      </c>
    </row>
    <row r="2809">
      <c r="A2809" s="1" t="str">
        <f>IFERROR(__xludf.DUMMYFUNCTION("""COMPUTED_VALUE"""),"NVVEW")</f>
        <v>NVVEW</v>
      </c>
    </row>
    <row r="2810">
      <c r="A2810" s="1" t="str">
        <f>IFERROR(__xludf.DUMMYFUNCTION("""COMPUTED_VALUE"""),"NWBI")</f>
        <v>NWBI</v>
      </c>
    </row>
    <row r="2811">
      <c r="A2811" s="1" t="str">
        <f>IFERROR(__xludf.DUMMYFUNCTION("""COMPUTED_VALUE"""),"NWE")</f>
        <v>NWE</v>
      </c>
    </row>
    <row r="2812">
      <c r="A2812" s="1" t="str">
        <f>IFERROR(__xludf.DUMMYFUNCTION("""COMPUTED_VALUE"""),"NWFL")</f>
        <v>NWFL</v>
      </c>
    </row>
    <row r="2813">
      <c r="A2813" s="1" t="str">
        <f>IFERROR(__xludf.DUMMYFUNCTION("""COMPUTED_VALUE"""),"NWL")</f>
        <v>NWL</v>
      </c>
    </row>
    <row r="2814">
      <c r="A2814" s="1" t="str">
        <f>IFERROR(__xludf.DUMMYFUNCTION("""COMPUTED_VALUE"""),"NWLI")</f>
        <v>NWLI</v>
      </c>
    </row>
    <row r="2815">
      <c r="A2815" s="1" t="str">
        <f>IFERROR(__xludf.DUMMYFUNCTION("""COMPUTED_VALUE"""),"NWPX")</f>
        <v>NWPX</v>
      </c>
    </row>
    <row r="2816">
      <c r="A2816" s="1" t="str">
        <f>IFERROR(__xludf.DUMMYFUNCTION("""COMPUTED_VALUE"""),"NWS")</f>
        <v>NWS</v>
      </c>
    </row>
    <row r="2817">
      <c r="A2817" s="1" t="str">
        <f>IFERROR(__xludf.DUMMYFUNCTION("""COMPUTED_VALUE"""),"NWSA")</f>
        <v>NWSA</v>
      </c>
    </row>
    <row r="2818">
      <c r="A2818" s="1" t="str">
        <f>IFERROR(__xludf.DUMMYFUNCTION("""COMPUTED_VALUE"""),"NXGN")</f>
        <v>NXGN</v>
      </c>
    </row>
    <row r="2819">
      <c r="A2819" s="1" t="str">
        <f>IFERROR(__xludf.DUMMYFUNCTION("""COMPUTED_VALUE"""),"NXPI")</f>
        <v>NXPI</v>
      </c>
    </row>
    <row r="2820">
      <c r="A2820" s="1" t="str">
        <f>IFERROR(__xludf.DUMMYFUNCTION("""COMPUTED_VALUE"""),"NXST")</f>
        <v>NXST</v>
      </c>
    </row>
    <row r="2821">
      <c r="A2821" s="1" t="str">
        <f>IFERROR(__xludf.DUMMYFUNCTION("""COMPUTED_VALUE"""),"NXTC")</f>
        <v>NXTC</v>
      </c>
    </row>
    <row r="2822">
      <c r="A2822" s="1" t="str">
        <f>IFERROR(__xludf.DUMMYFUNCTION("""COMPUTED_VALUE"""),"NXTD")</f>
        <v>NXTD</v>
      </c>
    </row>
    <row r="2823">
      <c r="A2823" s="1" t="str">
        <f>IFERROR(__xludf.DUMMYFUNCTION("""COMPUTED_VALUE"""),"NXTP")</f>
        <v>NXTP</v>
      </c>
    </row>
    <row r="2824">
      <c r="A2824" s="1" t="str">
        <f>IFERROR(__xludf.DUMMYFUNCTION("""COMPUTED_VALUE"""),"NYMT")</f>
        <v>NYMT</v>
      </c>
    </row>
    <row r="2825">
      <c r="A2825" s="1" t="str">
        <f>IFERROR(__xludf.DUMMYFUNCTION("""COMPUTED_VALUE"""),"NYMTL")</f>
        <v>NYMTL</v>
      </c>
    </row>
    <row r="2826">
      <c r="A2826" s="1" t="str">
        <f>IFERROR(__xludf.DUMMYFUNCTION("""COMPUTED_VALUE"""),"NYMTM")</f>
        <v>NYMTM</v>
      </c>
    </row>
    <row r="2827">
      <c r="A2827" s="1" t="str">
        <f>IFERROR(__xludf.DUMMYFUNCTION("""COMPUTED_VALUE"""),"NYMTN")</f>
        <v>NYMTN</v>
      </c>
    </row>
    <row r="2828">
      <c r="A2828" s="1" t="str">
        <f>IFERROR(__xludf.DUMMYFUNCTION("""COMPUTED_VALUE"""),"NYMTP")</f>
        <v>NYMTP</v>
      </c>
    </row>
    <row r="2829">
      <c r="A2829" s="1" t="str">
        <f>IFERROR(__xludf.DUMMYFUNCTION("""COMPUTED_VALUE"""),"NYMX")</f>
        <v>NYMX</v>
      </c>
    </row>
    <row r="2830">
      <c r="A2830" s="1" t="str">
        <f>IFERROR(__xludf.DUMMYFUNCTION("""COMPUTED_VALUE"""),"NYXH")</f>
        <v>NYXH</v>
      </c>
    </row>
    <row r="2831">
      <c r="A2831" s="1" t="str">
        <f>IFERROR(__xludf.DUMMYFUNCTION("""COMPUTED_VALUE"""),"OAS")</f>
        <v>OAS</v>
      </c>
    </row>
    <row r="2832">
      <c r="A2832" s="1" t="str">
        <f>IFERROR(__xludf.DUMMYFUNCTION("""COMPUTED_VALUE"""),"OB")</f>
        <v>OB</v>
      </c>
    </row>
    <row r="2833">
      <c r="A2833" s="1" t="str">
        <f>IFERROR(__xludf.DUMMYFUNCTION("""COMPUTED_VALUE"""),"OBAS")</f>
        <v>OBAS</v>
      </c>
    </row>
    <row r="2834">
      <c r="A2834" s="1" t="str">
        <f>IFERROR(__xludf.DUMMYFUNCTION("""COMPUTED_VALUE"""),"OBCI")</f>
        <v>OBCI</v>
      </c>
    </row>
    <row r="2835">
      <c r="A2835" s="1" t="str">
        <f>IFERROR(__xludf.DUMMYFUNCTION("""COMPUTED_VALUE"""),"OBLG")</f>
        <v>OBLG</v>
      </c>
    </row>
    <row r="2836">
      <c r="A2836" s="1" t="str">
        <f>IFERROR(__xludf.DUMMYFUNCTION("""COMPUTED_VALUE"""),"OBNK")</f>
        <v>OBNK</v>
      </c>
    </row>
    <row r="2837">
      <c r="A2837" s="1" t="str">
        <f>IFERROR(__xludf.DUMMYFUNCTION("""COMPUTED_VALUE"""),"OBSV")</f>
        <v>OBSV</v>
      </c>
    </row>
    <row r="2838">
      <c r="A2838" s="1" t="str">
        <f>IFERROR(__xludf.DUMMYFUNCTION("""COMPUTED_VALUE"""),"OBT")</f>
        <v>OBT</v>
      </c>
    </row>
    <row r="2839">
      <c r="A2839" s="1" t="str">
        <f>IFERROR(__xludf.DUMMYFUNCTION("""COMPUTED_VALUE"""),"OCAXU")</f>
        <v>OCAXU</v>
      </c>
    </row>
    <row r="2840">
      <c r="A2840" s="1" t="str">
        <f>IFERROR(__xludf.DUMMYFUNCTION("""COMPUTED_VALUE"""),"OCAXW")</f>
        <v>OCAXW</v>
      </c>
    </row>
    <row r="2841">
      <c r="A2841" s="1" t="str">
        <f>IFERROR(__xludf.DUMMYFUNCTION("""COMPUTED_VALUE"""),"OCC")</f>
        <v>OCC</v>
      </c>
    </row>
    <row r="2842">
      <c r="A2842" s="1" t="str">
        <f>IFERROR(__xludf.DUMMYFUNCTION("""COMPUTED_VALUE"""),"OCCI")</f>
        <v>OCCI</v>
      </c>
    </row>
    <row r="2843">
      <c r="A2843" s="1" t="str">
        <f>IFERROR(__xludf.DUMMYFUNCTION("""COMPUTED_VALUE"""),"OCCIO")</f>
        <v>OCCIO</v>
      </c>
    </row>
    <row r="2844">
      <c r="A2844" s="1" t="str">
        <f>IFERROR(__xludf.DUMMYFUNCTION("""COMPUTED_VALUE"""),"OCCIP")</f>
        <v>OCCIP</v>
      </c>
    </row>
    <row r="2845">
      <c r="A2845" s="1" t="str">
        <f>IFERROR(__xludf.DUMMYFUNCTION("""COMPUTED_VALUE"""),"OCDX")</f>
        <v>OCDX</v>
      </c>
    </row>
    <row r="2846">
      <c r="A2846" s="1" t="str">
        <f>IFERROR(__xludf.DUMMYFUNCTION("""COMPUTED_VALUE"""),"OCFC")</f>
        <v>OCFC</v>
      </c>
    </row>
    <row r="2847">
      <c r="A2847" s="1" t="str">
        <f>IFERROR(__xludf.DUMMYFUNCTION("""COMPUTED_VALUE"""),"OCFCP")</f>
        <v>OCFCP</v>
      </c>
    </row>
    <row r="2848">
      <c r="A2848" s="1" t="str">
        <f>IFERROR(__xludf.DUMMYFUNCTION("""COMPUTED_VALUE"""),"OCG")</f>
        <v>OCG</v>
      </c>
    </row>
    <row r="2849">
      <c r="A2849" s="1" t="str">
        <f>IFERROR(__xludf.DUMMYFUNCTION("""COMPUTED_VALUE"""),"OCGN")</f>
        <v>OCGN</v>
      </c>
    </row>
    <row r="2850">
      <c r="A2850" s="1" t="str">
        <f>IFERROR(__xludf.DUMMYFUNCTION("""COMPUTED_VALUE"""),"OCSL")</f>
        <v>OCSL</v>
      </c>
    </row>
    <row r="2851">
      <c r="A2851" s="1" t="str">
        <f>IFERROR(__xludf.DUMMYFUNCTION("""COMPUTED_VALUE"""),"OCUL")</f>
        <v>OCUL</v>
      </c>
    </row>
    <row r="2852">
      <c r="A2852" s="1" t="str">
        <f>IFERROR(__xludf.DUMMYFUNCTION("""COMPUTED_VALUE"""),"OCUP")</f>
        <v>OCUP</v>
      </c>
    </row>
    <row r="2853">
      <c r="A2853" s="1" t="str">
        <f>IFERROR(__xludf.DUMMYFUNCTION("""COMPUTED_VALUE"""),"OCX")</f>
        <v>OCX</v>
      </c>
    </row>
    <row r="2854">
      <c r="A2854" s="1" t="str">
        <f>IFERROR(__xludf.DUMMYFUNCTION("""COMPUTED_VALUE"""),"ODFL")</f>
        <v>ODFL</v>
      </c>
    </row>
    <row r="2855">
      <c r="A2855" s="1" t="str">
        <f>IFERROR(__xludf.DUMMYFUNCTION("""COMPUTED_VALUE"""),"ODP")</f>
        <v>ODP</v>
      </c>
    </row>
    <row r="2856">
      <c r="A2856" s="1" t="str">
        <f>IFERROR(__xludf.DUMMYFUNCTION("""COMPUTED_VALUE"""),"ODT")</f>
        <v>ODT</v>
      </c>
    </row>
    <row r="2857">
      <c r="A2857" s="1" t="str">
        <f>IFERROR(__xludf.DUMMYFUNCTION("""COMPUTED_VALUE"""),"OEG")</f>
        <v>OEG</v>
      </c>
    </row>
    <row r="2858">
      <c r="A2858" s="1" t="str">
        <f>IFERROR(__xludf.DUMMYFUNCTION("""COMPUTED_VALUE"""),"OEPW")</f>
        <v>OEPW</v>
      </c>
    </row>
    <row r="2859">
      <c r="A2859" s="1" t="str">
        <f>IFERROR(__xludf.DUMMYFUNCTION("""COMPUTED_VALUE"""),"OEPWU")</f>
        <v>OEPWU</v>
      </c>
    </row>
    <row r="2860">
      <c r="A2860" s="1" t="str">
        <f>IFERROR(__xludf.DUMMYFUNCTION("""COMPUTED_VALUE"""),"OEPWW")</f>
        <v>OEPWW</v>
      </c>
    </row>
    <row r="2861">
      <c r="A2861" s="1" t="str">
        <f>IFERROR(__xludf.DUMMYFUNCTION("""COMPUTED_VALUE"""),"OESX")</f>
        <v>OESX</v>
      </c>
    </row>
    <row r="2862">
      <c r="A2862" s="1" t="str">
        <f>IFERROR(__xludf.DUMMYFUNCTION("""COMPUTED_VALUE"""),"OFED")</f>
        <v>OFED</v>
      </c>
    </row>
    <row r="2863">
      <c r="A2863" s="1" t="str">
        <f>IFERROR(__xludf.DUMMYFUNCTION("""COMPUTED_VALUE"""),"OFIX")</f>
        <v>OFIX</v>
      </c>
    </row>
    <row r="2864">
      <c r="A2864" s="1" t="str">
        <f>IFERROR(__xludf.DUMMYFUNCTION("""COMPUTED_VALUE"""),"OFLX")</f>
        <v>OFLX</v>
      </c>
    </row>
    <row r="2865">
      <c r="A2865" s="1" t="str">
        <f>IFERROR(__xludf.DUMMYFUNCTION("""COMPUTED_VALUE"""),"OFS")</f>
        <v>OFS</v>
      </c>
    </row>
    <row r="2866">
      <c r="A2866" s="1" t="str">
        <f>IFERROR(__xludf.DUMMYFUNCTION("""COMPUTED_VALUE"""),"OFSSI")</f>
        <v>OFSSI</v>
      </c>
    </row>
    <row r="2867">
      <c r="A2867" s="1" t="str">
        <f>IFERROR(__xludf.DUMMYFUNCTION("""COMPUTED_VALUE"""),"OGI")</f>
        <v>OGI</v>
      </c>
    </row>
    <row r="2868">
      <c r="A2868" s="1" t="str">
        <f>IFERROR(__xludf.DUMMYFUNCTION("""COMPUTED_VALUE"""),"OHPAU")</f>
        <v>OHPAU</v>
      </c>
    </row>
    <row r="2869">
      <c r="A2869" s="1" t="str">
        <f>IFERROR(__xludf.DUMMYFUNCTION("""COMPUTED_VALUE"""),"OHPAW")</f>
        <v>OHPAW</v>
      </c>
    </row>
    <row r="2870">
      <c r="A2870" s="1" t="str">
        <f>IFERROR(__xludf.DUMMYFUNCTION("""COMPUTED_VALUE"""),"OIIM")</f>
        <v>OIIM</v>
      </c>
    </row>
    <row r="2871">
      <c r="A2871" s="1" t="str">
        <f>IFERROR(__xludf.DUMMYFUNCTION("""COMPUTED_VALUE"""),"OKTA")</f>
        <v>OKTA</v>
      </c>
    </row>
    <row r="2872">
      <c r="A2872" s="1" t="str">
        <f>IFERROR(__xludf.DUMMYFUNCTION("""COMPUTED_VALUE"""),"OLB")</f>
        <v>OLB</v>
      </c>
    </row>
    <row r="2873">
      <c r="A2873" s="1" t="str">
        <f>IFERROR(__xludf.DUMMYFUNCTION("""COMPUTED_VALUE"""),"OLED")</f>
        <v>OLED</v>
      </c>
    </row>
    <row r="2874">
      <c r="A2874" s="1" t="str">
        <f>IFERROR(__xludf.DUMMYFUNCTION("""COMPUTED_VALUE"""),"OLK")</f>
        <v>OLK</v>
      </c>
    </row>
    <row r="2875">
      <c r="A2875" s="1" t="str">
        <f>IFERROR(__xludf.DUMMYFUNCTION("""COMPUTED_VALUE"""),"OLLI")</f>
        <v>OLLI</v>
      </c>
    </row>
    <row r="2876">
      <c r="A2876" s="1" t="str">
        <f>IFERROR(__xludf.DUMMYFUNCTION("""COMPUTED_VALUE"""),"OLMA")</f>
        <v>OLMA</v>
      </c>
    </row>
    <row r="2877">
      <c r="A2877" s="1" t="str">
        <f>IFERROR(__xludf.DUMMYFUNCTION("""COMPUTED_VALUE"""),"OM")</f>
        <v>OM</v>
      </c>
    </row>
    <row r="2878">
      <c r="A2878" s="1" t="str">
        <f>IFERROR(__xludf.DUMMYFUNCTION("""COMPUTED_VALUE"""),"OMAB")</f>
        <v>OMAB</v>
      </c>
    </row>
    <row r="2879">
      <c r="A2879" s="1" t="str">
        <f>IFERROR(__xludf.DUMMYFUNCTION("""COMPUTED_VALUE"""),"OMCL")</f>
        <v>OMCL</v>
      </c>
    </row>
    <row r="2880">
      <c r="A2880" s="1" t="str">
        <f>IFERROR(__xludf.DUMMYFUNCTION("""COMPUTED_VALUE"""),"OMEG")</f>
        <v>OMEG</v>
      </c>
    </row>
    <row r="2881">
      <c r="A2881" s="1" t="str">
        <f>IFERROR(__xludf.DUMMYFUNCTION("""COMPUTED_VALUE"""),"OMER")</f>
        <v>OMER</v>
      </c>
    </row>
    <row r="2882">
      <c r="A2882" s="1" t="str">
        <f>IFERROR(__xludf.DUMMYFUNCTION("""COMPUTED_VALUE"""),"OMEX")</f>
        <v>OMEX</v>
      </c>
    </row>
    <row r="2883">
      <c r="A2883" s="1" t="str">
        <f>IFERROR(__xludf.DUMMYFUNCTION("""COMPUTED_VALUE"""),"OMGA")</f>
        <v>OMGA</v>
      </c>
    </row>
    <row r="2884">
      <c r="A2884" s="1" t="str">
        <f>IFERROR(__xludf.DUMMYFUNCTION("""COMPUTED_VALUE"""),"OMIC")</f>
        <v>OMIC</v>
      </c>
    </row>
    <row r="2885">
      <c r="A2885" s="1" t="str">
        <f>IFERROR(__xludf.DUMMYFUNCTION("""COMPUTED_VALUE"""),"OMP")</f>
        <v>OMP</v>
      </c>
    </row>
    <row r="2886">
      <c r="A2886" s="1" t="str">
        <f>IFERROR(__xludf.DUMMYFUNCTION("""COMPUTED_VALUE"""),"ON")</f>
        <v>ON</v>
      </c>
    </row>
    <row r="2887">
      <c r="A2887" s="1" t="str">
        <f>IFERROR(__xludf.DUMMYFUNCTION("""COMPUTED_VALUE"""),"ONB")</f>
        <v>ONB</v>
      </c>
    </row>
    <row r="2888">
      <c r="A2888" s="1" t="str">
        <f>IFERROR(__xludf.DUMMYFUNCTION("""COMPUTED_VALUE"""),"ONCR")</f>
        <v>ONCR</v>
      </c>
    </row>
    <row r="2889">
      <c r="A2889" s="1" t="str">
        <f>IFERROR(__xludf.DUMMYFUNCTION("""COMPUTED_VALUE"""),"ONCS")</f>
        <v>ONCS</v>
      </c>
    </row>
    <row r="2890">
      <c r="A2890" s="1" t="str">
        <f>IFERROR(__xludf.DUMMYFUNCTION("""COMPUTED_VALUE"""),"ONCT")</f>
        <v>ONCT</v>
      </c>
    </row>
    <row r="2891">
      <c r="A2891" s="1" t="str">
        <f>IFERROR(__xludf.DUMMYFUNCTION("""COMPUTED_VALUE"""),"ONCY")</f>
        <v>ONCY</v>
      </c>
    </row>
    <row r="2892">
      <c r="A2892" s="1" t="str">
        <f>IFERROR(__xludf.DUMMYFUNCTION("""COMPUTED_VALUE"""),"ONDS")</f>
        <v>ONDS</v>
      </c>
    </row>
    <row r="2893">
      <c r="A2893" s="1" t="str">
        <f>IFERROR(__xludf.DUMMYFUNCTION("""COMPUTED_VALUE"""),"ONEM")</f>
        <v>ONEM</v>
      </c>
    </row>
    <row r="2894">
      <c r="A2894" s="1" t="str">
        <f>IFERROR(__xludf.DUMMYFUNCTION("""COMPUTED_VALUE"""),"ONEW")</f>
        <v>ONEW</v>
      </c>
    </row>
    <row r="2895">
      <c r="A2895" s="1" t="str">
        <f>IFERROR(__xludf.DUMMYFUNCTION("""COMPUTED_VALUE"""),"ONTX")</f>
        <v>ONTX</v>
      </c>
    </row>
    <row r="2896">
      <c r="A2896" s="1" t="str">
        <f>IFERROR(__xludf.DUMMYFUNCTION("""COMPUTED_VALUE"""),"ONVO")</f>
        <v>ONVO</v>
      </c>
    </row>
    <row r="2897">
      <c r="A2897" s="1" t="str">
        <f>IFERROR(__xludf.DUMMYFUNCTION("""COMPUTED_VALUE"""),"OPBK")</f>
        <v>OPBK</v>
      </c>
    </row>
    <row r="2898">
      <c r="A2898" s="1" t="str">
        <f>IFERROR(__xludf.DUMMYFUNCTION("""COMPUTED_VALUE"""),"OPCH")</f>
        <v>OPCH</v>
      </c>
    </row>
    <row r="2899">
      <c r="A2899" s="1" t="str">
        <f>IFERROR(__xludf.DUMMYFUNCTION("""COMPUTED_VALUE"""),"OPEN")</f>
        <v>OPEN</v>
      </c>
    </row>
    <row r="2900">
      <c r="A2900" s="1" t="str">
        <f>IFERROR(__xludf.DUMMYFUNCTION("""COMPUTED_VALUE"""),"OPGN")</f>
        <v>OPGN</v>
      </c>
    </row>
    <row r="2901">
      <c r="A2901" s="1" t="str">
        <f>IFERROR(__xludf.DUMMYFUNCTION("""COMPUTED_VALUE"""),"OPHC")</f>
        <v>OPHC</v>
      </c>
    </row>
    <row r="2902">
      <c r="A2902" s="1" t="str">
        <f>IFERROR(__xludf.DUMMYFUNCTION("""COMPUTED_VALUE"""),"OPI")</f>
        <v>OPI</v>
      </c>
    </row>
    <row r="2903">
      <c r="A2903" s="1" t="str">
        <f>IFERROR(__xludf.DUMMYFUNCTION("""COMPUTED_VALUE"""),"OPINL")</f>
        <v>OPINL</v>
      </c>
    </row>
    <row r="2904">
      <c r="A2904" s="1" t="str">
        <f>IFERROR(__xludf.DUMMYFUNCTION("""COMPUTED_VALUE"""),"OPK")</f>
        <v>OPK</v>
      </c>
    </row>
    <row r="2905">
      <c r="A2905" s="1" t="str">
        <f>IFERROR(__xludf.DUMMYFUNCTION("""COMPUTED_VALUE"""),"OPNT")</f>
        <v>OPNT</v>
      </c>
    </row>
    <row r="2906">
      <c r="A2906" s="1" t="str">
        <f>IFERROR(__xludf.DUMMYFUNCTION("""COMPUTED_VALUE"""),"OPOF")</f>
        <v>OPOF</v>
      </c>
    </row>
    <row r="2907">
      <c r="A2907" s="1" t="str">
        <f>IFERROR(__xludf.DUMMYFUNCTION("""COMPUTED_VALUE"""),"OPRA")</f>
        <v>OPRA</v>
      </c>
    </row>
    <row r="2908">
      <c r="A2908" s="1" t="str">
        <f>IFERROR(__xludf.DUMMYFUNCTION("""COMPUTED_VALUE"""),"OPRT")</f>
        <v>OPRT</v>
      </c>
    </row>
    <row r="2909">
      <c r="A2909" s="1" t="str">
        <f>IFERROR(__xludf.DUMMYFUNCTION("""COMPUTED_VALUE"""),"OPRX")</f>
        <v>OPRX</v>
      </c>
    </row>
    <row r="2910">
      <c r="A2910" s="1" t="str">
        <f>IFERROR(__xludf.DUMMYFUNCTION("""COMPUTED_VALUE"""),"OPT")</f>
        <v>OPT</v>
      </c>
    </row>
    <row r="2911">
      <c r="A2911" s="1" t="str">
        <f>IFERROR(__xludf.DUMMYFUNCTION("""COMPUTED_VALUE"""),"OPTN")</f>
        <v>OPTN</v>
      </c>
    </row>
    <row r="2912">
      <c r="A2912" s="1" t="str">
        <f>IFERROR(__xludf.DUMMYFUNCTION("""COMPUTED_VALUE"""),"ORBC")</f>
        <v>ORBC</v>
      </c>
    </row>
    <row r="2913">
      <c r="A2913" s="1" t="str">
        <f>IFERROR(__xludf.DUMMYFUNCTION("""COMPUTED_VALUE"""),"ORGN")</f>
        <v>ORGN</v>
      </c>
    </row>
    <row r="2914">
      <c r="A2914" s="1" t="str">
        <f>IFERROR(__xludf.DUMMYFUNCTION("""COMPUTED_VALUE"""),"ORGNW")</f>
        <v>ORGNW</v>
      </c>
    </row>
    <row r="2915">
      <c r="A2915" s="1" t="str">
        <f>IFERROR(__xludf.DUMMYFUNCTION("""COMPUTED_VALUE"""),"ORGO")</f>
        <v>ORGO</v>
      </c>
    </row>
    <row r="2916">
      <c r="A2916" s="1" t="str">
        <f>IFERROR(__xludf.DUMMYFUNCTION("""COMPUTED_VALUE"""),"ORGS")</f>
        <v>ORGS</v>
      </c>
    </row>
    <row r="2917">
      <c r="A2917" s="1" t="str">
        <f>IFERROR(__xludf.DUMMYFUNCTION("""COMPUTED_VALUE"""),"ORIA")</f>
        <v>ORIA</v>
      </c>
    </row>
    <row r="2918">
      <c r="A2918" s="1" t="str">
        <f>IFERROR(__xludf.DUMMYFUNCTION("""COMPUTED_VALUE"""),"ORIAU")</f>
        <v>ORIAU</v>
      </c>
    </row>
    <row r="2919">
      <c r="A2919" s="1" t="str">
        <f>IFERROR(__xludf.DUMMYFUNCTION("""COMPUTED_VALUE"""),"ORIAW")</f>
        <v>ORIAW</v>
      </c>
    </row>
    <row r="2920">
      <c r="A2920" s="1" t="str">
        <f>IFERROR(__xludf.DUMMYFUNCTION("""COMPUTED_VALUE"""),"ORIC")</f>
        <v>ORIC</v>
      </c>
    </row>
    <row r="2921">
      <c r="A2921" s="1" t="str">
        <f>IFERROR(__xludf.DUMMYFUNCTION("""COMPUTED_VALUE"""),"ORLY")</f>
        <v>ORLY</v>
      </c>
    </row>
    <row r="2922">
      <c r="A2922" s="1" t="str">
        <f>IFERROR(__xludf.DUMMYFUNCTION("""COMPUTED_VALUE"""),"ORMP")</f>
        <v>ORMP</v>
      </c>
    </row>
    <row r="2923">
      <c r="A2923" s="1" t="str">
        <f>IFERROR(__xludf.DUMMYFUNCTION("""COMPUTED_VALUE"""),"ORPH")</f>
        <v>ORPH</v>
      </c>
    </row>
    <row r="2924">
      <c r="A2924" s="1" t="str">
        <f>IFERROR(__xludf.DUMMYFUNCTION("""COMPUTED_VALUE"""),"ORRF")</f>
        <v>ORRF</v>
      </c>
    </row>
    <row r="2925">
      <c r="A2925" s="1" t="str">
        <f>IFERROR(__xludf.DUMMYFUNCTION("""COMPUTED_VALUE"""),"ORTX")</f>
        <v>ORTX</v>
      </c>
    </row>
    <row r="2926">
      <c r="A2926" s="1" t="str">
        <f>IFERROR(__xludf.DUMMYFUNCTION("""COMPUTED_VALUE"""),"OSAT")</f>
        <v>OSAT</v>
      </c>
    </row>
    <row r="2927">
      <c r="A2927" s="1" t="str">
        <f>IFERROR(__xludf.DUMMYFUNCTION("""COMPUTED_VALUE"""),"OSATW")</f>
        <v>OSATW</v>
      </c>
    </row>
    <row r="2928">
      <c r="A2928" s="1" t="str">
        <f>IFERROR(__xludf.DUMMYFUNCTION("""COMPUTED_VALUE"""),"OSBC")</f>
        <v>OSBC</v>
      </c>
    </row>
    <row r="2929">
      <c r="A2929" s="1" t="str">
        <f>IFERROR(__xludf.DUMMYFUNCTION("""COMPUTED_VALUE"""),"OSIS")</f>
        <v>OSIS</v>
      </c>
    </row>
    <row r="2930">
      <c r="A2930" s="1" t="str">
        <f>IFERROR(__xludf.DUMMYFUNCTION("""COMPUTED_VALUE"""),"OSMT")</f>
        <v>OSMT</v>
      </c>
    </row>
    <row r="2931">
      <c r="A2931" s="1" t="str">
        <f>IFERROR(__xludf.DUMMYFUNCTION("""COMPUTED_VALUE"""),"OSN")</f>
        <v>OSN</v>
      </c>
    </row>
    <row r="2932">
      <c r="A2932" s="1" t="str">
        <f>IFERROR(__xludf.DUMMYFUNCTION("""COMPUTED_VALUE"""),"OSPN")</f>
        <v>OSPN</v>
      </c>
    </row>
    <row r="2933">
      <c r="A2933" s="1" t="str">
        <f>IFERROR(__xludf.DUMMYFUNCTION("""COMPUTED_VALUE"""),"OSS")</f>
        <v>OSS</v>
      </c>
    </row>
    <row r="2934">
      <c r="A2934" s="1" t="str">
        <f>IFERROR(__xludf.DUMMYFUNCTION("""COMPUTED_VALUE"""),"OSTK")</f>
        <v>OSTK</v>
      </c>
    </row>
    <row r="2935">
      <c r="A2935" s="1" t="str">
        <f>IFERROR(__xludf.DUMMYFUNCTION("""COMPUTED_VALUE"""),"OSTR")</f>
        <v>OSTR</v>
      </c>
    </row>
    <row r="2936">
      <c r="A2936" s="1" t="str">
        <f>IFERROR(__xludf.DUMMYFUNCTION("""COMPUTED_VALUE"""),"OSTRU")</f>
        <v>OSTRU</v>
      </c>
    </row>
    <row r="2937">
      <c r="A2937" s="1" t="str">
        <f>IFERROR(__xludf.DUMMYFUNCTION("""COMPUTED_VALUE"""),"OSTRW")</f>
        <v>OSTRW</v>
      </c>
    </row>
    <row r="2938">
      <c r="A2938" s="1" t="str">
        <f>IFERROR(__xludf.DUMMYFUNCTION("""COMPUTED_VALUE"""),"OSUR")</f>
        <v>OSUR</v>
      </c>
    </row>
    <row r="2939">
      <c r="A2939" s="1" t="str">
        <f>IFERROR(__xludf.DUMMYFUNCTION("""COMPUTED_VALUE"""),"OSW")</f>
        <v>OSW</v>
      </c>
    </row>
    <row r="2940">
      <c r="A2940" s="1" t="str">
        <f>IFERROR(__xludf.DUMMYFUNCTION("""COMPUTED_VALUE"""),"OTEC")</f>
        <v>OTEC</v>
      </c>
    </row>
    <row r="2941">
      <c r="A2941" s="1" t="str">
        <f>IFERROR(__xludf.DUMMYFUNCTION("""COMPUTED_VALUE"""),"OTECW")</f>
        <v>OTECW</v>
      </c>
    </row>
    <row r="2942">
      <c r="A2942" s="1" t="str">
        <f>IFERROR(__xludf.DUMMYFUNCTION("""COMPUTED_VALUE"""),"OTEX")</f>
        <v>OTEX</v>
      </c>
    </row>
    <row r="2943">
      <c r="A2943" s="1" t="str">
        <f>IFERROR(__xludf.DUMMYFUNCTION("""COMPUTED_VALUE"""),"OTIC")</f>
        <v>OTIC</v>
      </c>
    </row>
    <row r="2944">
      <c r="A2944" s="1" t="str">
        <f>IFERROR(__xludf.DUMMYFUNCTION("""COMPUTED_VALUE"""),"OTLK")</f>
        <v>OTLK</v>
      </c>
    </row>
    <row r="2945">
      <c r="A2945" s="1" t="str">
        <f>IFERROR(__xludf.DUMMYFUNCTION("""COMPUTED_VALUE"""),"OTLKW")</f>
        <v>OTLKW</v>
      </c>
    </row>
    <row r="2946">
      <c r="A2946" s="1" t="str">
        <f>IFERROR(__xludf.DUMMYFUNCTION("""COMPUTED_VALUE"""),"OTLY")</f>
        <v>OTLY</v>
      </c>
    </row>
    <row r="2947">
      <c r="A2947" s="1" t="str">
        <f>IFERROR(__xludf.DUMMYFUNCTION("""COMPUTED_VALUE"""),"OTRA")</f>
        <v>OTRA</v>
      </c>
    </row>
    <row r="2948">
      <c r="A2948" s="1" t="str">
        <f>IFERROR(__xludf.DUMMYFUNCTION("""COMPUTED_VALUE"""),"OTRAU")</f>
        <v>OTRAU</v>
      </c>
    </row>
    <row r="2949">
      <c r="A2949" s="1" t="str">
        <f>IFERROR(__xludf.DUMMYFUNCTION("""COMPUTED_VALUE"""),"OTRAW")</f>
        <v>OTRAW</v>
      </c>
    </row>
    <row r="2950">
      <c r="A2950" s="1" t="str">
        <f>IFERROR(__xludf.DUMMYFUNCTION("""COMPUTED_VALUE"""),"OTRK")</f>
        <v>OTRK</v>
      </c>
    </row>
    <row r="2951">
      <c r="A2951" s="1" t="str">
        <f>IFERROR(__xludf.DUMMYFUNCTION("""COMPUTED_VALUE"""),"OTRKP")</f>
        <v>OTRKP</v>
      </c>
    </row>
    <row r="2952">
      <c r="A2952" s="1" t="str">
        <f>IFERROR(__xludf.DUMMYFUNCTION("""COMPUTED_VALUE"""),"OTTR")</f>
        <v>OTTR</v>
      </c>
    </row>
    <row r="2953">
      <c r="A2953" s="1" t="str">
        <f>IFERROR(__xludf.DUMMYFUNCTION("""COMPUTED_VALUE"""),"OVBC")</f>
        <v>OVBC</v>
      </c>
    </row>
    <row r="2954">
      <c r="A2954" s="1" t="str">
        <f>IFERROR(__xludf.DUMMYFUNCTION("""COMPUTED_VALUE"""),"OVID")</f>
        <v>OVID</v>
      </c>
    </row>
    <row r="2955">
      <c r="A2955" s="1" t="str">
        <f>IFERROR(__xludf.DUMMYFUNCTION("""COMPUTED_VALUE"""),"OVLY")</f>
        <v>OVLY</v>
      </c>
    </row>
    <row r="2956">
      <c r="A2956" s="1" t="str">
        <f>IFERROR(__xludf.DUMMYFUNCTION("""COMPUTED_VALUE"""),"OXBR")</f>
        <v>OXBR</v>
      </c>
    </row>
    <row r="2957">
      <c r="A2957" s="1" t="str">
        <f>IFERROR(__xludf.DUMMYFUNCTION("""COMPUTED_VALUE"""),"OXBRW")</f>
        <v>OXBRW</v>
      </c>
    </row>
    <row r="2958">
      <c r="A2958" s="1" t="str">
        <f>IFERROR(__xludf.DUMMYFUNCTION("""COMPUTED_VALUE"""),"OXLC")</f>
        <v>OXLC</v>
      </c>
    </row>
    <row r="2959">
      <c r="A2959" s="1" t="str">
        <f>IFERROR(__xludf.DUMMYFUNCTION("""COMPUTED_VALUE"""),"OXLCL")</f>
        <v>OXLCL</v>
      </c>
    </row>
    <row r="2960">
      <c r="A2960" s="1" t="str">
        <f>IFERROR(__xludf.DUMMYFUNCTION("""COMPUTED_VALUE"""),"OXLCM")</f>
        <v>OXLCM</v>
      </c>
    </row>
    <row r="2961">
      <c r="A2961" s="1" t="str">
        <f>IFERROR(__xludf.DUMMYFUNCTION("""COMPUTED_VALUE"""),"OXLCP")</f>
        <v>OXLCP</v>
      </c>
    </row>
    <row r="2962">
      <c r="A2962" s="1" t="str">
        <f>IFERROR(__xludf.DUMMYFUNCTION("""COMPUTED_VALUE"""),"OXSQ")</f>
        <v>OXSQ</v>
      </c>
    </row>
    <row r="2963">
      <c r="A2963" s="1" t="str">
        <f>IFERROR(__xludf.DUMMYFUNCTION("""COMPUTED_VALUE"""),"OXSQG")</f>
        <v>OXSQG</v>
      </c>
    </row>
    <row r="2964">
      <c r="A2964" s="1" t="str">
        <f>IFERROR(__xludf.DUMMYFUNCTION("""COMPUTED_VALUE"""),"OXSQL")</f>
        <v>OXSQL</v>
      </c>
    </row>
    <row r="2965">
      <c r="A2965" s="1" t="str">
        <f>IFERROR(__xludf.DUMMYFUNCTION("""COMPUTED_VALUE"""),"OXSQZ")</f>
        <v>OXSQZ</v>
      </c>
    </row>
    <row r="2966">
      <c r="A2966" s="1" t="str">
        <f>IFERROR(__xludf.DUMMYFUNCTION("""COMPUTED_VALUE"""),"OYST")</f>
        <v>OYST</v>
      </c>
    </row>
    <row r="2967">
      <c r="A2967" s="1" t="str">
        <f>IFERROR(__xludf.DUMMYFUNCTION("""COMPUTED_VALUE"""),"OZK")</f>
        <v>OZK</v>
      </c>
    </row>
    <row r="2968">
      <c r="A2968" s="1" t="str">
        <f>IFERROR(__xludf.DUMMYFUNCTION("""COMPUTED_VALUE"""),"OZON")</f>
        <v>OZON</v>
      </c>
    </row>
    <row r="2969">
      <c r="A2969" s="1" t="str">
        <f>IFERROR(__xludf.DUMMYFUNCTION("""COMPUTED_VALUE"""),"PAA")</f>
        <v>PAA</v>
      </c>
    </row>
    <row r="2970">
      <c r="A2970" s="1" t="str">
        <f>IFERROR(__xludf.DUMMYFUNCTION("""COMPUTED_VALUE"""),"PAAS")</f>
        <v>PAAS</v>
      </c>
    </row>
    <row r="2971">
      <c r="A2971" s="1" t="str">
        <f>IFERROR(__xludf.DUMMYFUNCTION("""COMPUTED_VALUE"""),"PACB")</f>
        <v>PACB</v>
      </c>
    </row>
    <row r="2972">
      <c r="A2972" s="1" t="str">
        <f>IFERROR(__xludf.DUMMYFUNCTION("""COMPUTED_VALUE"""),"PACW")</f>
        <v>PACW</v>
      </c>
    </row>
    <row r="2973">
      <c r="A2973" s="1" t="str">
        <f>IFERROR(__xludf.DUMMYFUNCTION("""COMPUTED_VALUE"""),"PACX")</f>
        <v>PACX</v>
      </c>
    </row>
    <row r="2974">
      <c r="A2974" s="1" t="str">
        <f>IFERROR(__xludf.DUMMYFUNCTION("""COMPUTED_VALUE"""),"PACXU")</f>
        <v>PACXU</v>
      </c>
    </row>
    <row r="2975">
      <c r="A2975" s="1" t="str">
        <f>IFERROR(__xludf.DUMMYFUNCTION("""COMPUTED_VALUE"""),"PACXW")</f>
        <v>PACXW</v>
      </c>
    </row>
    <row r="2976">
      <c r="A2976" s="1" t="str">
        <f>IFERROR(__xludf.DUMMYFUNCTION("""COMPUTED_VALUE"""),"PAE")</f>
        <v>PAE</v>
      </c>
    </row>
    <row r="2977">
      <c r="A2977" s="1" t="str">
        <f>IFERROR(__xludf.DUMMYFUNCTION("""COMPUTED_VALUE"""),"PAGP")</f>
        <v>PAGP</v>
      </c>
    </row>
    <row r="2978">
      <c r="A2978" s="1" t="str">
        <f>IFERROR(__xludf.DUMMYFUNCTION("""COMPUTED_VALUE"""),"PAHC")</f>
        <v>PAHC</v>
      </c>
    </row>
    <row r="2979">
      <c r="A2979" s="1" t="str">
        <f>IFERROR(__xludf.DUMMYFUNCTION("""COMPUTED_VALUE"""),"PAIC")</f>
        <v>PAIC</v>
      </c>
    </row>
    <row r="2980">
      <c r="A2980" s="1" t="str">
        <f>IFERROR(__xludf.DUMMYFUNCTION("""COMPUTED_VALUE"""),"PAICW")</f>
        <v>PAICW</v>
      </c>
    </row>
    <row r="2981">
      <c r="A2981" s="1" t="str">
        <f>IFERROR(__xludf.DUMMYFUNCTION("""COMPUTED_VALUE"""),"PALI")</f>
        <v>PALI</v>
      </c>
    </row>
    <row r="2982">
      <c r="A2982" s="1" t="str">
        <f>IFERROR(__xludf.DUMMYFUNCTION("""COMPUTED_VALUE"""),"PALT")</f>
        <v>PALT</v>
      </c>
    </row>
    <row r="2983">
      <c r="A2983" s="1" t="str">
        <f>IFERROR(__xludf.DUMMYFUNCTION("""COMPUTED_VALUE"""),"PANA")</f>
        <v>PANA</v>
      </c>
    </row>
    <row r="2984">
      <c r="A2984" s="1" t="str">
        <f>IFERROR(__xludf.DUMMYFUNCTION("""COMPUTED_VALUE"""),"PANL")</f>
        <v>PANL</v>
      </c>
    </row>
    <row r="2985">
      <c r="A2985" s="1" t="str">
        <f>IFERROR(__xludf.DUMMYFUNCTION("""COMPUTED_VALUE"""),"PAQC")</f>
        <v>PAQC</v>
      </c>
    </row>
    <row r="2986">
      <c r="A2986" s="1" t="str">
        <f>IFERROR(__xludf.DUMMYFUNCTION("""COMPUTED_VALUE"""),"PAQCU")</f>
        <v>PAQCU</v>
      </c>
    </row>
    <row r="2987">
      <c r="A2987" s="1" t="str">
        <f>IFERROR(__xludf.DUMMYFUNCTION("""COMPUTED_VALUE"""),"PAQCW")</f>
        <v>PAQCW</v>
      </c>
    </row>
    <row r="2988">
      <c r="A2988" s="1" t="str">
        <f>IFERROR(__xludf.DUMMYFUNCTION("""COMPUTED_VALUE"""),"PASG")</f>
        <v>PASG</v>
      </c>
    </row>
    <row r="2989">
      <c r="A2989" s="1" t="str">
        <f>IFERROR(__xludf.DUMMYFUNCTION("""COMPUTED_VALUE"""),"PATI")</f>
        <v>PATI</v>
      </c>
    </row>
    <row r="2990">
      <c r="A2990" s="1" t="str">
        <f>IFERROR(__xludf.DUMMYFUNCTION("""COMPUTED_VALUE"""),"PATK")</f>
        <v>PATK</v>
      </c>
    </row>
    <row r="2991">
      <c r="A2991" s="1" t="str">
        <f>IFERROR(__xludf.DUMMYFUNCTION("""COMPUTED_VALUE"""),"PAVM")</f>
        <v>PAVM</v>
      </c>
    </row>
    <row r="2992">
      <c r="A2992" s="1" t="str">
        <f>IFERROR(__xludf.DUMMYFUNCTION("""COMPUTED_VALUE"""),"PAVMW")</f>
        <v>PAVMW</v>
      </c>
    </row>
    <row r="2993">
      <c r="A2993" s="1" t="str">
        <f>IFERROR(__xludf.DUMMYFUNCTION("""COMPUTED_VALUE"""),"PAVMZ")</f>
        <v>PAVMZ</v>
      </c>
    </row>
    <row r="2994">
      <c r="A2994" s="1" t="str">
        <f>IFERROR(__xludf.DUMMYFUNCTION("""COMPUTED_VALUE"""),"PAX")</f>
        <v>PAX</v>
      </c>
    </row>
    <row r="2995">
      <c r="A2995" s="1" t="str">
        <f>IFERROR(__xludf.DUMMYFUNCTION("""COMPUTED_VALUE"""),"PAYA")</f>
        <v>PAYA</v>
      </c>
    </row>
    <row r="2996">
      <c r="A2996" s="1" t="str">
        <f>IFERROR(__xludf.DUMMYFUNCTION("""COMPUTED_VALUE"""),"PAYAW")</f>
        <v>PAYAW</v>
      </c>
    </row>
    <row r="2997">
      <c r="A2997" s="1" t="str">
        <f>IFERROR(__xludf.DUMMYFUNCTION("""COMPUTED_VALUE"""),"PAYO")</f>
        <v>PAYO</v>
      </c>
    </row>
    <row r="2998">
      <c r="A2998" s="1" t="str">
        <f>IFERROR(__xludf.DUMMYFUNCTION("""COMPUTED_VALUE"""),"PAYOW")</f>
        <v>PAYOW</v>
      </c>
    </row>
    <row r="2999">
      <c r="A2999" s="1" t="str">
        <f>IFERROR(__xludf.DUMMYFUNCTION("""COMPUTED_VALUE"""),"PAYS")</f>
        <v>PAYS</v>
      </c>
    </row>
    <row r="3000">
      <c r="A3000" s="1" t="str">
        <f>IFERROR(__xludf.DUMMYFUNCTION("""COMPUTED_VALUE"""),"PAYX")</f>
        <v>PAYX</v>
      </c>
    </row>
    <row r="3001">
      <c r="A3001" s="1" t="str">
        <f>IFERROR(__xludf.DUMMYFUNCTION("""COMPUTED_VALUE"""),"PBBK")</f>
        <v>PBBK</v>
      </c>
    </row>
    <row r="3002">
      <c r="A3002" s="1" t="str">
        <f>IFERROR(__xludf.DUMMYFUNCTION("""COMPUTED_VALUE"""),"PBCT")</f>
        <v>PBCT</v>
      </c>
    </row>
    <row r="3003">
      <c r="A3003" s="1" t="str">
        <f>IFERROR(__xludf.DUMMYFUNCTION("""COMPUTED_VALUE"""),"PBCTP")</f>
        <v>PBCTP</v>
      </c>
    </row>
    <row r="3004">
      <c r="A3004" s="1" t="str">
        <f>IFERROR(__xludf.DUMMYFUNCTION("""COMPUTED_VALUE"""),"PBFS")</f>
        <v>PBFS</v>
      </c>
    </row>
    <row r="3005">
      <c r="A3005" s="1" t="str">
        <f>IFERROR(__xludf.DUMMYFUNCTION("""COMPUTED_VALUE"""),"PBHC")</f>
        <v>PBHC</v>
      </c>
    </row>
    <row r="3006">
      <c r="A3006" s="1" t="str">
        <f>IFERROR(__xludf.DUMMYFUNCTION("""COMPUTED_VALUE"""),"PBIP")</f>
        <v>PBIP</v>
      </c>
    </row>
    <row r="3007">
      <c r="A3007" s="1" t="str">
        <f>IFERROR(__xludf.DUMMYFUNCTION("""COMPUTED_VALUE"""),"PBLA")</f>
        <v>PBLA</v>
      </c>
    </row>
    <row r="3008">
      <c r="A3008" s="1" t="str">
        <f>IFERROR(__xludf.DUMMYFUNCTION("""COMPUTED_VALUE"""),"PBPB")</f>
        <v>PBPB</v>
      </c>
    </row>
    <row r="3009">
      <c r="A3009" s="1" t="str">
        <f>IFERROR(__xludf.DUMMYFUNCTION("""COMPUTED_VALUE"""),"PBTS")</f>
        <v>PBTS</v>
      </c>
    </row>
    <row r="3010">
      <c r="A3010" s="1" t="str">
        <f>IFERROR(__xludf.DUMMYFUNCTION("""COMPUTED_VALUE"""),"PBYI")</f>
        <v>PBYI</v>
      </c>
    </row>
    <row r="3011">
      <c r="A3011" s="1" t="str">
        <f>IFERROR(__xludf.DUMMYFUNCTION("""COMPUTED_VALUE"""),"PCAR")</f>
        <v>PCAR</v>
      </c>
    </row>
    <row r="3012">
      <c r="A3012" s="1" t="str">
        <f>IFERROR(__xludf.DUMMYFUNCTION("""COMPUTED_VALUE"""),"PCB")</f>
        <v>PCB</v>
      </c>
    </row>
    <row r="3013">
      <c r="A3013" s="1" t="str">
        <f>IFERROR(__xludf.DUMMYFUNCTION("""COMPUTED_VALUE"""),"PCH")</f>
        <v>PCH</v>
      </c>
    </row>
    <row r="3014">
      <c r="A3014" s="1" t="str">
        <f>IFERROR(__xludf.DUMMYFUNCTION("""COMPUTED_VALUE"""),"PCOM")</f>
        <v>PCOM</v>
      </c>
    </row>
    <row r="3015">
      <c r="A3015" s="1" t="str">
        <f>IFERROR(__xludf.DUMMYFUNCTION("""COMPUTED_VALUE"""),"PCRX")</f>
        <v>PCRX</v>
      </c>
    </row>
    <row r="3016">
      <c r="A3016" s="1" t="str">
        <f>IFERROR(__xludf.DUMMYFUNCTION("""COMPUTED_VALUE"""),"PCSA")</f>
        <v>PCSA</v>
      </c>
    </row>
    <row r="3017">
      <c r="A3017" s="1" t="str">
        <f>IFERROR(__xludf.DUMMYFUNCTION("""COMPUTED_VALUE"""),"PCSB")</f>
        <v>PCSB</v>
      </c>
    </row>
    <row r="3018">
      <c r="A3018" s="1" t="str">
        <f>IFERROR(__xludf.DUMMYFUNCTION("""COMPUTED_VALUE"""),"PCT")</f>
        <v>PCT</v>
      </c>
    </row>
    <row r="3019">
      <c r="A3019" s="1" t="str">
        <f>IFERROR(__xludf.DUMMYFUNCTION("""COMPUTED_VALUE"""),"PCTI")</f>
        <v>PCTI</v>
      </c>
    </row>
    <row r="3020">
      <c r="A3020" s="1" t="str">
        <f>IFERROR(__xludf.DUMMYFUNCTION("""COMPUTED_VALUE"""),"PCTTU")</f>
        <v>PCTTU</v>
      </c>
    </row>
    <row r="3021">
      <c r="A3021" s="1" t="str">
        <f>IFERROR(__xludf.DUMMYFUNCTION("""COMPUTED_VALUE"""),"PCTTW")</f>
        <v>PCTTW</v>
      </c>
    </row>
    <row r="3022">
      <c r="A3022" s="1" t="str">
        <f>IFERROR(__xludf.DUMMYFUNCTION("""COMPUTED_VALUE"""),"PCTY")</f>
        <v>PCTY</v>
      </c>
    </row>
    <row r="3023">
      <c r="A3023" s="1" t="str">
        <f>IFERROR(__xludf.DUMMYFUNCTION("""COMPUTED_VALUE"""),"PCVX")</f>
        <v>PCVX</v>
      </c>
    </row>
    <row r="3024">
      <c r="A3024" s="1" t="str">
        <f>IFERROR(__xludf.DUMMYFUNCTION("""COMPUTED_VALUE"""),"PCYG")</f>
        <v>PCYG</v>
      </c>
    </row>
    <row r="3025">
      <c r="A3025" s="1" t="str">
        <f>IFERROR(__xludf.DUMMYFUNCTION("""COMPUTED_VALUE"""),"PCYO")</f>
        <v>PCYO</v>
      </c>
    </row>
    <row r="3026">
      <c r="A3026" s="1" t="str">
        <f>IFERROR(__xludf.DUMMYFUNCTION("""COMPUTED_VALUE"""),"PDCE")</f>
        <v>PDCE</v>
      </c>
    </row>
    <row r="3027">
      <c r="A3027" s="1" t="str">
        <f>IFERROR(__xludf.DUMMYFUNCTION("""COMPUTED_VALUE"""),"PDCO")</f>
        <v>PDCO</v>
      </c>
    </row>
    <row r="3028">
      <c r="A3028" s="1" t="str">
        <f>IFERROR(__xludf.DUMMYFUNCTION("""COMPUTED_VALUE"""),"PDD")</f>
        <v>PDD</v>
      </c>
    </row>
    <row r="3029">
      <c r="A3029" s="1" t="str">
        <f>IFERROR(__xludf.DUMMYFUNCTION("""COMPUTED_VALUE"""),"PDEX")</f>
        <v>PDEX</v>
      </c>
    </row>
    <row r="3030">
      <c r="A3030" s="1" t="str">
        <f>IFERROR(__xludf.DUMMYFUNCTION("""COMPUTED_VALUE"""),"PDFS")</f>
        <v>PDFS</v>
      </c>
    </row>
    <row r="3031">
      <c r="A3031" s="1" t="str">
        <f>IFERROR(__xludf.DUMMYFUNCTION("""COMPUTED_VALUE"""),"PDLB")</f>
        <v>PDLB</v>
      </c>
    </row>
    <row r="3032">
      <c r="A3032" s="1" t="str">
        <f>IFERROR(__xludf.DUMMYFUNCTION("""COMPUTED_VALUE"""),"PDSB")</f>
        <v>PDSB</v>
      </c>
    </row>
    <row r="3033">
      <c r="A3033" s="1" t="str">
        <f>IFERROR(__xludf.DUMMYFUNCTION("""COMPUTED_VALUE"""),"PEBK")</f>
        <v>PEBK</v>
      </c>
    </row>
    <row r="3034">
      <c r="A3034" s="1" t="str">
        <f>IFERROR(__xludf.DUMMYFUNCTION("""COMPUTED_VALUE"""),"PEBO")</f>
        <v>PEBO</v>
      </c>
    </row>
    <row r="3035">
      <c r="A3035" s="1" t="str">
        <f>IFERROR(__xludf.DUMMYFUNCTION("""COMPUTED_VALUE"""),"PECO")</f>
        <v>PECO</v>
      </c>
    </row>
    <row r="3036">
      <c r="A3036" s="1" t="str">
        <f>IFERROR(__xludf.DUMMYFUNCTION("""COMPUTED_VALUE"""),"PEGA")</f>
        <v>PEGA</v>
      </c>
    </row>
    <row r="3037">
      <c r="A3037" s="1" t="str">
        <f>IFERROR(__xludf.DUMMYFUNCTION("""COMPUTED_VALUE"""),"PENN")</f>
        <v>PENN</v>
      </c>
    </row>
    <row r="3038">
      <c r="A3038" s="1" t="str">
        <f>IFERROR(__xludf.DUMMYFUNCTION("""COMPUTED_VALUE"""),"PEP")</f>
        <v>PEP</v>
      </c>
    </row>
    <row r="3039">
      <c r="A3039" s="1" t="str">
        <f>IFERROR(__xludf.DUMMYFUNCTION("""COMPUTED_VALUE"""),"PERI")</f>
        <v>PERI</v>
      </c>
    </row>
    <row r="3040">
      <c r="A3040" s="1" t="str">
        <f>IFERROR(__xludf.DUMMYFUNCTION("""COMPUTED_VALUE"""),"PESI")</f>
        <v>PESI</v>
      </c>
    </row>
    <row r="3041">
      <c r="A3041" s="1" t="str">
        <f>IFERROR(__xludf.DUMMYFUNCTION("""COMPUTED_VALUE"""),"PETQ")</f>
        <v>PETQ</v>
      </c>
    </row>
    <row r="3042">
      <c r="A3042" s="1" t="str">
        <f>IFERROR(__xludf.DUMMYFUNCTION("""COMPUTED_VALUE"""),"PETS")</f>
        <v>PETS</v>
      </c>
    </row>
    <row r="3043">
      <c r="A3043" s="1" t="str">
        <f>IFERROR(__xludf.DUMMYFUNCTION("""COMPUTED_VALUE"""),"PETZ")</f>
        <v>PETZ</v>
      </c>
    </row>
    <row r="3044">
      <c r="A3044" s="1" t="str">
        <f>IFERROR(__xludf.DUMMYFUNCTION("""COMPUTED_VALUE"""),"PFBC")</f>
        <v>PFBC</v>
      </c>
    </row>
    <row r="3045">
      <c r="A3045" s="1" t="str">
        <f>IFERROR(__xludf.DUMMYFUNCTION("""COMPUTED_VALUE"""),"PFBI")</f>
        <v>PFBI</v>
      </c>
    </row>
    <row r="3046">
      <c r="A3046" s="1" t="str">
        <f>IFERROR(__xludf.DUMMYFUNCTION("""COMPUTED_VALUE"""),"PFC")</f>
        <v>PFC</v>
      </c>
    </row>
    <row r="3047">
      <c r="A3047" s="1" t="str">
        <f>IFERROR(__xludf.DUMMYFUNCTION("""COMPUTED_VALUE"""),"PFDR")</f>
        <v>PFDR</v>
      </c>
    </row>
    <row r="3048">
      <c r="A3048" s="1" t="str">
        <f>IFERROR(__xludf.DUMMYFUNCTION("""COMPUTED_VALUE"""),"PFDRU")</f>
        <v>PFDRU</v>
      </c>
    </row>
    <row r="3049">
      <c r="A3049" s="1" t="str">
        <f>IFERROR(__xludf.DUMMYFUNCTION("""COMPUTED_VALUE"""),"PFDRW")</f>
        <v>PFDRW</v>
      </c>
    </row>
    <row r="3050">
      <c r="A3050" s="1" t="str">
        <f>IFERROR(__xludf.DUMMYFUNCTION("""COMPUTED_VALUE"""),"PFG")</f>
        <v>PFG</v>
      </c>
    </row>
    <row r="3051">
      <c r="A3051" s="1" t="str">
        <f>IFERROR(__xludf.DUMMYFUNCTION("""COMPUTED_VALUE"""),"PFHD")</f>
        <v>PFHD</v>
      </c>
    </row>
    <row r="3052">
      <c r="A3052" s="1" t="str">
        <f>IFERROR(__xludf.DUMMYFUNCTION("""COMPUTED_VALUE"""),"PFIE")</f>
        <v>PFIE</v>
      </c>
    </row>
    <row r="3053">
      <c r="A3053" s="1" t="str">
        <f>IFERROR(__xludf.DUMMYFUNCTION("""COMPUTED_VALUE"""),"PFIN")</f>
        <v>PFIN</v>
      </c>
    </row>
    <row r="3054">
      <c r="A3054" s="1" t="str">
        <f>IFERROR(__xludf.DUMMYFUNCTION("""COMPUTED_VALUE"""),"PFIS")</f>
        <v>PFIS</v>
      </c>
    </row>
    <row r="3055">
      <c r="A3055" s="1" t="str">
        <f>IFERROR(__xludf.DUMMYFUNCTION("""COMPUTED_VALUE"""),"PFLT")</f>
        <v>PFLT</v>
      </c>
    </row>
    <row r="3056">
      <c r="A3056" s="1" t="str">
        <f>IFERROR(__xludf.DUMMYFUNCTION("""COMPUTED_VALUE"""),"PFMT")</f>
        <v>PFMT</v>
      </c>
    </row>
    <row r="3057">
      <c r="A3057" s="1" t="str">
        <f>IFERROR(__xludf.DUMMYFUNCTION("""COMPUTED_VALUE"""),"PFPT")</f>
        <v>PFPT</v>
      </c>
    </row>
    <row r="3058">
      <c r="A3058" s="1" t="str">
        <f>IFERROR(__xludf.DUMMYFUNCTION("""COMPUTED_VALUE"""),"PFSW")</f>
        <v>PFSW</v>
      </c>
    </row>
    <row r="3059">
      <c r="A3059" s="1" t="str">
        <f>IFERROR(__xludf.DUMMYFUNCTION("""COMPUTED_VALUE"""),"PFTAU")</f>
        <v>PFTAU</v>
      </c>
    </row>
    <row r="3060">
      <c r="A3060" s="1" t="str">
        <f>IFERROR(__xludf.DUMMYFUNCTION("""COMPUTED_VALUE"""),"PFX")</f>
        <v>PFX</v>
      </c>
    </row>
    <row r="3061">
      <c r="A3061" s="1" t="str">
        <f>IFERROR(__xludf.DUMMYFUNCTION("""COMPUTED_VALUE"""),"PFXNL")</f>
        <v>PFXNL</v>
      </c>
    </row>
    <row r="3062">
      <c r="A3062" s="1" t="str">
        <f>IFERROR(__xludf.DUMMYFUNCTION("""COMPUTED_VALUE"""),"PGC")</f>
        <v>PGC</v>
      </c>
    </row>
    <row r="3063">
      <c r="A3063" s="1" t="str">
        <f>IFERROR(__xludf.DUMMYFUNCTION("""COMPUTED_VALUE"""),"PGEN")</f>
        <v>PGEN</v>
      </c>
    </row>
    <row r="3064">
      <c r="A3064" s="1" t="str">
        <f>IFERROR(__xludf.DUMMYFUNCTION("""COMPUTED_VALUE"""),"PGNY")</f>
        <v>PGNY</v>
      </c>
    </row>
    <row r="3065">
      <c r="A3065" s="1" t="str">
        <f>IFERROR(__xludf.DUMMYFUNCTION("""COMPUTED_VALUE"""),"PGRW")</f>
        <v>PGRW</v>
      </c>
    </row>
    <row r="3066">
      <c r="A3066" s="1" t="str">
        <f>IFERROR(__xludf.DUMMYFUNCTION("""COMPUTED_VALUE"""),"PGRWU")</f>
        <v>PGRWU</v>
      </c>
    </row>
    <row r="3067">
      <c r="A3067" s="1" t="str">
        <f>IFERROR(__xludf.DUMMYFUNCTION("""COMPUTED_VALUE"""),"PGRWW")</f>
        <v>PGRWW</v>
      </c>
    </row>
    <row r="3068">
      <c r="A3068" s="1" t="str">
        <f>IFERROR(__xludf.DUMMYFUNCTION("""COMPUTED_VALUE"""),"PHAR")</f>
        <v>PHAR</v>
      </c>
    </row>
    <row r="3069">
      <c r="A3069" s="1" t="str">
        <f>IFERROR(__xludf.DUMMYFUNCTION("""COMPUTED_VALUE"""),"PHAS")</f>
        <v>PHAS</v>
      </c>
    </row>
    <row r="3070">
      <c r="A3070" s="1" t="str">
        <f>IFERROR(__xludf.DUMMYFUNCTION("""COMPUTED_VALUE"""),"PHAT")</f>
        <v>PHAT</v>
      </c>
    </row>
    <row r="3071">
      <c r="A3071" s="1" t="str">
        <f>IFERROR(__xludf.DUMMYFUNCTION("""COMPUTED_VALUE"""),"PHCF")</f>
        <v>PHCF</v>
      </c>
    </row>
    <row r="3072">
      <c r="A3072" s="1" t="str">
        <f>IFERROR(__xludf.DUMMYFUNCTION("""COMPUTED_VALUE"""),"PHIC")</f>
        <v>PHIC</v>
      </c>
    </row>
    <row r="3073">
      <c r="A3073" s="1" t="str">
        <f>IFERROR(__xludf.DUMMYFUNCTION("""COMPUTED_VALUE"""),"PHICU")</f>
        <v>PHICU</v>
      </c>
    </row>
    <row r="3074">
      <c r="A3074" s="1" t="str">
        <f>IFERROR(__xludf.DUMMYFUNCTION("""COMPUTED_VALUE"""),"PHICW")</f>
        <v>PHICW</v>
      </c>
    </row>
    <row r="3075">
      <c r="A3075" s="1" t="str">
        <f>IFERROR(__xludf.DUMMYFUNCTION("""COMPUTED_VALUE"""),"PHIO")</f>
        <v>PHIO</v>
      </c>
    </row>
    <row r="3076">
      <c r="A3076" s="1" t="str">
        <f>IFERROR(__xludf.DUMMYFUNCTION("""COMPUTED_VALUE"""),"PHIOW")</f>
        <v>PHIOW</v>
      </c>
    </row>
    <row r="3077">
      <c r="A3077" s="1" t="str">
        <f>IFERROR(__xludf.DUMMYFUNCTION("""COMPUTED_VALUE"""),"PHUN")</f>
        <v>PHUN</v>
      </c>
    </row>
    <row r="3078">
      <c r="A3078" s="1" t="str">
        <f>IFERROR(__xludf.DUMMYFUNCTION("""COMPUTED_VALUE"""),"PHUNW")</f>
        <v>PHUNW</v>
      </c>
    </row>
    <row r="3079">
      <c r="A3079" s="1" t="str">
        <f>IFERROR(__xludf.DUMMYFUNCTION("""COMPUTED_VALUE"""),"PHVS")</f>
        <v>PHVS</v>
      </c>
    </row>
    <row r="3080">
      <c r="A3080" s="1" t="str">
        <f>IFERROR(__xludf.DUMMYFUNCTION("""COMPUTED_VALUE"""),"PI")</f>
        <v>PI</v>
      </c>
    </row>
    <row r="3081">
      <c r="A3081" s="1" t="str">
        <f>IFERROR(__xludf.DUMMYFUNCTION("""COMPUTED_VALUE"""),"PINC")</f>
        <v>PINC</v>
      </c>
    </row>
    <row r="3082">
      <c r="A3082" s="1" t="str">
        <f>IFERROR(__xludf.DUMMYFUNCTION("""COMPUTED_VALUE"""),"PIRS")</f>
        <v>PIRS</v>
      </c>
    </row>
    <row r="3083">
      <c r="A3083" s="1" t="str">
        <f>IFERROR(__xludf.DUMMYFUNCTION("""COMPUTED_VALUE"""),"PIXY")</f>
        <v>PIXY</v>
      </c>
    </row>
    <row r="3084">
      <c r="A3084" s="1" t="str">
        <f>IFERROR(__xludf.DUMMYFUNCTION("""COMPUTED_VALUE"""),"PKBK")</f>
        <v>PKBK</v>
      </c>
    </row>
    <row r="3085">
      <c r="A3085" s="1" t="str">
        <f>IFERROR(__xludf.DUMMYFUNCTION("""COMPUTED_VALUE"""),"PKOH")</f>
        <v>PKOH</v>
      </c>
    </row>
    <row r="3086">
      <c r="A3086" s="1" t="str">
        <f>IFERROR(__xludf.DUMMYFUNCTION("""COMPUTED_VALUE"""),"PLAB")</f>
        <v>PLAB</v>
      </c>
    </row>
    <row r="3087">
      <c r="A3087" s="1" t="str">
        <f>IFERROR(__xludf.DUMMYFUNCTION("""COMPUTED_VALUE"""),"PLAY")</f>
        <v>PLAY</v>
      </c>
    </row>
    <row r="3088">
      <c r="A3088" s="1" t="str">
        <f>IFERROR(__xludf.DUMMYFUNCTION("""COMPUTED_VALUE"""),"PLBC")</f>
        <v>PLBC</v>
      </c>
    </row>
    <row r="3089">
      <c r="A3089" s="1" t="str">
        <f>IFERROR(__xludf.DUMMYFUNCTION("""COMPUTED_VALUE"""),"PLBY")</f>
        <v>PLBY</v>
      </c>
    </row>
    <row r="3090">
      <c r="A3090" s="1" t="str">
        <f>IFERROR(__xludf.DUMMYFUNCTION("""COMPUTED_VALUE"""),"PLCE")</f>
        <v>PLCE</v>
      </c>
    </row>
    <row r="3091">
      <c r="A3091" s="1" t="str">
        <f>IFERROR(__xludf.DUMMYFUNCTION("""COMPUTED_VALUE"""),"PLIN")</f>
        <v>PLIN</v>
      </c>
    </row>
    <row r="3092">
      <c r="A3092" s="1" t="str">
        <f>IFERROR(__xludf.DUMMYFUNCTION("""COMPUTED_VALUE"""),"PLL")</f>
        <v>PLL</v>
      </c>
    </row>
    <row r="3093">
      <c r="A3093" s="1" t="str">
        <f>IFERROR(__xludf.DUMMYFUNCTION("""COMPUTED_VALUE"""),"PLMI")</f>
        <v>PLMI</v>
      </c>
    </row>
    <row r="3094">
      <c r="A3094" s="1" t="str">
        <f>IFERROR(__xludf.DUMMYFUNCTION("""COMPUTED_VALUE"""),"PLMIW")</f>
        <v>PLMIW</v>
      </c>
    </row>
    <row r="3095">
      <c r="A3095" s="1" t="str">
        <f>IFERROR(__xludf.DUMMYFUNCTION("""COMPUTED_VALUE"""),"PLMR")</f>
        <v>PLMR</v>
      </c>
    </row>
    <row r="3096">
      <c r="A3096" s="1" t="str">
        <f>IFERROR(__xludf.DUMMYFUNCTION("""COMPUTED_VALUE"""),"PLPC")</f>
        <v>PLPC</v>
      </c>
    </row>
    <row r="3097">
      <c r="A3097" s="1" t="str">
        <f>IFERROR(__xludf.DUMMYFUNCTION("""COMPUTED_VALUE"""),"PLRX")</f>
        <v>PLRX</v>
      </c>
    </row>
    <row r="3098">
      <c r="A3098" s="1" t="str">
        <f>IFERROR(__xludf.DUMMYFUNCTION("""COMPUTED_VALUE"""),"PLSE")</f>
        <v>PLSE</v>
      </c>
    </row>
    <row r="3099">
      <c r="A3099" s="1" t="str">
        <f>IFERROR(__xludf.DUMMYFUNCTION("""COMPUTED_VALUE"""),"PLTK")</f>
        <v>PLTK</v>
      </c>
    </row>
    <row r="3100">
      <c r="A3100" s="1" t="str">
        <f>IFERROR(__xludf.DUMMYFUNCTION("""COMPUTED_VALUE"""),"PLUG")</f>
        <v>PLUG</v>
      </c>
    </row>
    <row r="3101">
      <c r="A3101" s="1" t="str">
        <f>IFERROR(__xludf.DUMMYFUNCTION("""COMPUTED_VALUE"""),"PLUS")</f>
        <v>PLUS</v>
      </c>
    </row>
    <row r="3102">
      <c r="A3102" s="1" t="str">
        <f>IFERROR(__xludf.DUMMYFUNCTION("""COMPUTED_VALUE"""),"PLXP")</f>
        <v>PLXP</v>
      </c>
    </row>
    <row r="3103">
      <c r="A3103" s="1" t="str">
        <f>IFERROR(__xludf.DUMMYFUNCTION("""COMPUTED_VALUE"""),"PLXS")</f>
        <v>PLXS</v>
      </c>
    </row>
    <row r="3104">
      <c r="A3104" s="1" t="str">
        <f>IFERROR(__xludf.DUMMYFUNCTION("""COMPUTED_VALUE"""),"PLYA")</f>
        <v>PLYA</v>
      </c>
    </row>
    <row r="3105">
      <c r="A3105" s="1" t="str">
        <f>IFERROR(__xludf.DUMMYFUNCTION("""COMPUTED_VALUE"""),"PMBC")</f>
        <v>PMBC</v>
      </c>
    </row>
    <row r="3106">
      <c r="A3106" s="1" t="str">
        <f>IFERROR(__xludf.DUMMYFUNCTION("""COMPUTED_VALUE"""),"PMD")</f>
        <v>PMD</v>
      </c>
    </row>
    <row r="3107">
      <c r="A3107" s="1" t="str">
        <f>IFERROR(__xludf.DUMMYFUNCTION("""COMPUTED_VALUE"""),"PME")</f>
        <v>PME</v>
      </c>
    </row>
    <row r="3108">
      <c r="A3108" s="1" t="str">
        <f>IFERROR(__xludf.DUMMYFUNCTION("""COMPUTED_VALUE"""),"PMGM")</f>
        <v>PMGM</v>
      </c>
    </row>
    <row r="3109">
      <c r="A3109" s="1" t="str">
        <f>IFERROR(__xludf.DUMMYFUNCTION("""COMPUTED_VALUE"""),"PMGMU")</f>
        <v>PMGMU</v>
      </c>
    </row>
    <row r="3110">
      <c r="A3110" s="1" t="str">
        <f>IFERROR(__xludf.DUMMYFUNCTION("""COMPUTED_VALUE"""),"PMTS")</f>
        <v>PMTS</v>
      </c>
    </row>
    <row r="3111">
      <c r="A3111" s="1" t="str">
        <f>IFERROR(__xludf.DUMMYFUNCTION("""COMPUTED_VALUE"""),"PMVP")</f>
        <v>PMVP</v>
      </c>
    </row>
    <row r="3112">
      <c r="A3112" s="1" t="str">
        <f>IFERROR(__xludf.DUMMYFUNCTION("""COMPUTED_VALUE"""),"PNBK")</f>
        <v>PNBK</v>
      </c>
    </row>
    <row r="3113">
      <c r="A3113" s="1" t="str">
        <f>IFERROR(__xludf.DUMMYFUNCTION("""COMPUTED_VALUE"""),"PNFP")</f>
        <v>PNFP</v>
      </c>
    </row>
    <row r="3114">
      <c r="A3114" s="1" t="str">
        <f>IFERROR(__xludf.DUMMYFUNCTION("""COMPUTED_VALUE"""),"PNFPP")</f>
        <v>PNFPP</v>
      </c>
    </row>
    <row r="3115">
      <c r="A3115" s="1" t="str">
        <f>IFERROR(__xludf.DUMMYFUNCTION("""COMPUTED_VALUE"""),"PNNT")</f>
        <v>PNNT</v>
      </c>
    </row>
    <row r="3116">
      <c r="A3116" s="1" t="str">
        <f>IFERROR(__xludf.DUMMYFUNCTION("""COMPUTED_VALUE"""),"PNRG")</f>
        <v>PNRG</v>
      </c>
    </row>
    <row r="3117">
      <c r="A3117" s="1" t="str">
        <f>IFERROR(__xludf.DUMMYFUNCTION("""COMPUTED_VALUE"""),"PNT")</f>
        <v>PNT</v>
      </c>
    </row>
    <row r="3118">
      <c r="A3118" s="1" t="str">
        <f>IFERROR(__xludf.DUMMYFUNCTION("""COMPUTED_VALUE"""),"PNTG")</f>
        <v>PNTG</v>
      </c>
    </row>
    <row r="3119">
      <c r="A3119" s="1" t="str">
        <f>IFERROR(__xludf.DUMMYFUNCTION("""COMPUTED_VALUE"""),"POAI")</f>
        <v>POAI</v>
      </c>
    </row>
    <row r="3120">
      <c r="A3120" s="1" t="str">
        <f>IFERROR(__xludf.DUMMYFUNCTION("""COMPUTED_VALUE"""),"PODD")</f>
        <v>PODD</v>
      </c>
    </row>
    <row r="3121">
      <c r="A3121" s="1" t="str">
        <f>IFERROR(__xludf.DUMMYFUNCTION("""COMPUTED_VALUE"""),"POLA")</f>
        <v>POLA</v>
      </c>
    </row>
    <row r="3122">
      <c r="A3122" s="1" t="str">
        <f>IFERROR(__xludf.DUMMYFUNCTION("""COMPUTED_VALUE"""),"POOL")</f>
        <v>POOL</v>
      </c>
    </row>
    <row r="3123">
      <c r="A3123" s="1" t="str">
        <f>IFERROR(__xludf.DUMMYFUNCTION("""COMPUTED_VALUE"""),"POSH")</f>
        <v>POSH</v>
      </c>
    </row>
    <row r="3124">
      <c r="A3124" s="1" t="str">
        <f>IFERROR(__xludf.DUMMYFUNCTION("""COMPUTED_VALUE"""),"POW")</f>
        <v>POW</v>
      </c>
    </row>
    <row r="3125">
      <c r="A3125" s="1" t="str">
        <f>IFERROR(__xludf.DUMMYFUNCTION("""COMPUTED_VALUE"""),"POWI")</f>
        <v>POWI</v>
      </c>
    </row>
    <row r="3126">
      <c r="A3126" s="1" t="str">
        <f>IFERROR(__xludf.DUMMYFUNCTION("""COMPUTED_VALUE"""),"POWL")</f>
        <v>POWL</v>
      </c>
    </row>
    <row r="3127">
      <c r="A3127" s="1" t="str">
        <f>IFERROR(__xludf.DUMMYFUNCTION("""COMPUTED_VALUE"""),"POWRU")</f>
        <v>POWRU</v>
      </c>
    </row>
    <row r="3128">
      <c r="A3128" s="1" t="str">
        <f>IFERROR(__xludf.DUMMYFUNCTION("""COMPUTED_VALUE"""),"POWRW")</f>
        <v>POWRW</v>
      </c>
    </row>
    <row r="3129">
      <c r="A3129" s="1" t="str">
        <f>IFERROR(__xludf.DUMMYFUNCTION("""COMPUTED_VALUE"""),"POWW")</f>
        <v>POWW</v>
      </c>
    </row>
    <row r="3130">
      <c r="A3130" s="1" t="str">
        <f>IFERROR(__xludf.DUMMYFUNCTION("""COMPUTED_VALUE"""),"POWWP")</f>
        <v>POWWP</v>
      </c>
    </row>
    <row r="3131">
      <c r="A3131" s="1" t="str">
        <f>IFERROR(__xludf.DUMMYFUNCTION("""COMPUTED_VALUE"""),"PPBI")</f>
        <v>PPBI</v>
      </c>
    </row>
    <row r="3132">
      <c r="A3132" s="1" t="str">
        <f>IFERROR(__xludf.DUMMYFUNCTION("""COMPUTED_VALUE"""),"PPBT")</f>
        <v>PPBT</v>
      </c>
    </row>
    <row r="3133">
      <c r="A3133" s="1" t="str">
        <f>IFERROR(__xludf.DUMMYFUNCTION("""COMPUTED_VALUE"""),"PPC")</f>
        <v>PPC</v>
      </c>
    </row>
    <row r="3134">
      <c r="A3134" s="1" t="str">
        <f>IFERROR(__xludf.DUMMYFUNCTION("""COMPUTED_VALUE"""),"PPD")</f>
        <v>PPD</v>
      </c>
    </row>
    <row r="3135">
      <c r="A3135" s="1" t="str">
        <f>IFERROR(__xludf.DUMMYFUNCTION("""COMPUTED_VALUE"""),"PPGH")</f>
        <v>PPGH</v>
      </c>
    </row>
    <row r="3136">
      <c r="A3136" s="1" t="str">
        <f>IFERROR(__xludf.DUMMYFUNCTION("""COMPUTED_VALUE"""),"PPGHU")</f>
        <v>PPGHU</v>
      </c>
    </row>
    <row r="3137">
      <c r="A3137" s="1" t="str">
        <f>IFERROR(__xludf.DUMMYFUNCTION("""COMPUTED_VALUE"""),"PPGHW")</f>
        <v>PPGHW</v>
      </c>
    </row>
    <row r="3138">
      <c r="A3138" s="1" t="str">
        <f>IFERROR(__xludf.DUMMYFUNCTION("""COMPUTED_VALUE"""),"PPIH")</f>
        <v>PPIH</v>
      </c>
    </row>
    <row r="3139">
      <c r="A3139" s="1" t="str">
        <f>IFERROR(__xludf.DUMMYFUNCTION("""COMPUTED_VALUE"""),"PPSI")</f>
        <v>PPSI</v>
      </c>
    </row>
    <row r="3140">
      <c r="A3140" s="1" t="str">
        <f>IFERROR(__xludf.DUMMYFUNCTION("""COMPUTED_VALUE"""),"PPTA")</f>
        <v>PPTA</v>
      </c>
    </row>
    <row r="3141">
      <c r="A3141" s="1" t="str">
        <f>IFERROR(__xludf.DUMMYFUNCTION("""COMPUTED_VALUE"""),"PRAA")</f>
        <v>PRAA</v>
      </c>
    </row>
    <row r="3142">
      <c r="A3142" s="1" t="str">
        <f>IFERROR(__xludf.DUMMYFUNCTION("""COMPUTED_VALUE"""),"PRAX")</f>
        <v>PRAX</v>
      </c>
    </row>
    <row r="3143">
      <c r="A3143" s="1" t="str">
        <f>IFERROR(__xludf.DUMMYFUNCTION("""COMPUTED_VALUE"""),"PRCH")</f>
        <v>PRCH</v>
      </c>
    </row>
    <row r="3144">
      <c r="A3144" s="1" t="str">
        <f>IFERROR(__xludf.DUMMYFUNCTION("""COMPUTED_VALUE"""),"PRDO")</f>
        <v>PRDO</v>
      </c>
    </row>
    <row r="3145">
      <c r="A3145" s="1" t="str">
        <f>IFERROR(__xludf.DUMMYFUNCTION("""COMPUTED_VALUE"""),"PRFT")</f>
        <v>PRFT</v>
      </c>
    </row>
    <row r="3146">
      <c r="A3146" s="1" t="str">
        <f>IFERROR(__xludf.DUMMYFUNCTION("""COMPUTED_VALUE"""),"PRFX")</f>
        <v>PRFX</v>
      </c>
    </row>
    <row r="3147">
      <c r="A3147" s="1" t="str">
        <f>IFERROR(__xludf.DUMMYFUNCTION("""COMPUTED_VALUE"""),"PRGS")</f>
        <v>PRGS</v>
      </c>
    </row>
    <row r="3148">
      <c r="A3148" s="1" t="str">
        <f>IFERROR(__xludf.DUMMYFUNCTION("""COMPUTED_VALUE"""),"PRIM")</f>
        <v>PRIM</v>
      </c>
    </row>
    <row r="3149">
      <c r="A3149" s="1" t="str">
        <f>IFERROR(__xludf.DUMMYFUNCTION("""COMPUTED_VALUE"""),"PRLD")</f>
        <v>PRLD</v>
      </c>
    </row>
    <row r="3150">
      <c r="A3150" s="1" t="str">
        <f>IFERROR(__xludf.DUMMYFUNCTION("""COMPUTED_VALUE"""),"PROF")</f>
        <v>PROF</v>
      </c>
    </row>
    <row r="3151">
      <c r="A3151" s="1" t="str">
        <f>IFERROR(__xludf.DUMMYFUNCTION("""COMPUTED_VALUE"""),"PROG")</f>
        <v>PROG</v>
      </c>
    </row>
    <row r="3152">
      <c r="A3152" s="1" t="str">
        <f>IFERROR(__xludf.DUMMYFUNCTION("""COMPUTED_VALUE"""),"PROV")</f>
        <v>PROV</v>
      </c>
    </row>
    <row r="3153">
      <c r="A3153" s="1" t="str">
        <f>IFERROR(__xludf.DUMMYFUNCTION("""COMPUTED_VALUE"""),"PRPH")</f>
        <v>PRPH</v>
      </c>
    </row>
    <row r="3154">
      <c r="A3154" s="1" t="str">
        <f>IFERROR(__xludf.DUMMYFUNCTION("""COMPUTED_VALUE"""),"PRPL")</f>
        <v>PRPL</v>
      </c>
    </row>
    <row r="3155">
      <c r="A3155" s="1" t="str">
        <f>IFERROR(__xludf.DUMMYFUNCTION("""COMPUTED_VALUE"""),"PRPO")</f>
        <v>PRPO</v>
      </c>
    </row>
    <row r="3156">
      <c r="A3156" s="1" t="str">
        <f>IFERROR(__xludf.DUMMYFUNCTION("""COMPUTED_VALUE"""),"PRQR")</f>
        <v>PRQR</v>
      </c>
    </row>
    <row r="3157">
      <c r="A3157" s="1" t="str">
        <f>IFERROR(__xludf.DUMMYFUNCTION("""COMPUTED_VALUE"""),"PRSR")</f>
        <v>PRSR</v>
      </c>
    </row>
    <row r="3158">
      <c r="A3158" s="1" t="str">
        <f>IFERROR(__xludf.DUMMYFUNCTION("""COMPUTED_VALUE"""),"PRSRU")</f>
        <v>PRSRU</v>
      </c>
    </row>
    <row r="3159">
      <c r="A3159" s="1" t="str">
        <f>IFERROR(__xludf.DUMMYFUNCTION("""COMPUTED_VALUE"""),"PRSRW")</f>
        <v>PRSRW</v>
      </c>
    </row>
    <row r="3160">
      <c r="A3160" s="1" t="str">
        <f>IFERROR(__xludf.DUMMYFUNCTION("""COMPUTED_VALUE"""),"PRTA")</f>
        <v>PRTA</v>
      </c>
    </row>
    <row r="3161">
      <c r="A3161" s="1" t="str">
        <f>IFERROR(__xludf.DUMMYFUNCTION("""COMPUTED_VALUE"""),"PRTC")</f>
        <v>PRTC</v>
      </c>
    </row>
    <row r="3162">
      <c r="A3162" s="1" t="str">
        <f>IFERROR(__xludf.DUMMYFUNCTION("""COMPUTED_VALUE"""),"PRTG")</f>
        <v>PRTG</v>
      </c>
    </row>
    <row r="3163">
      <c r="A3163" s="1" t="str">
        <f>IFERROR(__xludf.DUMMYFUNCTION("""COMPUTED_VALUE"""),"PRTH")</f>
        <v>PRTH</v>
      </c>
    </row>
    <row r="3164">
      <c r="A3164" s="1" t="str">
        <f>IFERROR(__xludf.DUMMYFUNCTION("""COMPUTED_VALUE"""),"PRTK")</f>
        <v>PRTK</v>
      </c>
    </row>
    <row r="3165">
      <c r="A3165" s="1" t="str">
        <f>IFERROR(__xludf.DUMMYFUNCTION("""COMPUTED_VALUE"""),"PRTS")</f>
        <v>PRTS</v>
      </c>
    </row>
    <row r="3166">
      <c r="A3166" s="1" t="str">
        <f>IFERROR(__xludf.DUMMYFUNCTION("""COMPUTED_VALUE"""),"PRVA")</f>
        <v>PRVA</v>
      </c>
    </row>
    <row r="3167">
      <c r="A3167" s="1" t="str">
        <f>IFERROR(__xludf.DUMMYFUNCTION("""COMPUTED_VALUE"""),"PRVB")</f>
        <v>PRVB</v>
      </c>
    </row>
    <row r="3168">
      <c r="A3168" s="1" t="str">
        <f>IFERROR(__xludf.DUMMYFUNCTION("""COMPUTED_VALUE"""),"PSAGU")</f>
        <v>PSAGU</v>
      </c>
    </row>
    <row r="3169">
      <c r="A3169" s="1" t="str">
        <f>IFERROR(__xludf.DUMMYFUNCTION("""COMPUTED_VALUE"""),"PSEC")</f>
        <v>PSEC</v>
      </c>
    </row>
    <row r="3170">
      <c r="A3170" s="1" t="str">
        <f>IFERROR(__xludf.DUMMYFUNCTION("""COMPUTED_VALUE"""),"PSHG")</f>
        <v>PSHG</v>
      </c>
    </row>
    <row r="3171">
      <c r="A3171" s="1" t="str">
        <f>IFERROR(__xludf.DUMMYFUNCTION("""COMPUTED_VALUE"""),"PSMT")</f>
        <v>PSMT</v>
      </c>
    </row>
    <row r="3172">
      <c r="A3172" s="1" t="str">
        <f>IFERROR(__xludf.DUMMYFUNCTION("""COMPUTED_VALUE"""),"PSNL")</f>
        <v>PSNL</v>
      </c>
    </row>
    <row r="3173">
      <c r="A3173" s="1" t="str">
        <f>IFERROR(__xludf.DUMMYFUNCTION("""COMPUTED_VALUE"""),"PSTI")</f>
        <v>PSTI</v>
      </c>
    </row>
    <row r="3174">
      <c r="A3174" s="1" t="str">
        <f>IFERROR(__xludf.DUMMYFUNCTION("""COMPUTED_VALUE"""),"PSTV")</f>
        <v>PSTV</v>
      </c>
    </row>
    <row r="3175">
      <c r="A3175" s="1" t="str">
        <f>IFERROR(__xludf.DUMMYFUNCTION("""COMPUTED_VALUE"""),"PSTX")</f>
        <v>PSTX</v>
      </c>
    </row>
    <row r="3176">
      <c r="A3176" s="1" t="str">
        <f>IFERROR(__xludf.DUMMYFUNCTION("""COMPUTED_VALUE"""),"PT")</f>
        <v>PT</v>
      </c>
    </row>
    <row r="3177">
      <c r="A3177" s="1" t="str">
        <f>IFERROR(__xludf.DUMMYFUNCTION("""COMPUTED_VALUE"""),"PTC")</f>
        <v>PTC</v>
      </c>
    </row>
    <row r="3178">
      <c r="A3178" s="1" t="str">
        <f>IFERROR(__xludf.DUMMYFUNCTION("""COMPUTED_VALUE"""),"PTCT")</f>
        <v>PTCT</v>
      </c>
    </row>
    <row r="3179">
      <c r="A3179" s="1" t="str">
        <f>IFERROR(__xludf.DUMMYFUNCTION("""COMPUTED_VALUE"""),"PTE")</f>
        <v>PTE</v>
      </c>
    </row>
    <row r="3180">
      <c r="A3180" s="1" t="str">
        <f>IFERROR(__xludf.DUMMYFUNCTION("""COMPUTED_VALUE"""),"PTEN")</f>
        <v>PTEN</v>
      </c>
    </row>
    <row r="3181">
      <c r="A3181" s="1" t="str">
        <f>IFERROR(__xludf.DUMMYFUNCTION("""COMPUTED_VALUE"""),"PTGX")</f>
        <v>PTGX</v>
      </c>
    </row>
    <row r="3182">
      <c r="A3182" s="1" t="str">
        <f>IFERROR(__xludf.DUMMYFUNCTION("""COMPUTED_VALUE"""),"PTIC")</f>
        <v>PTIC</v>
      </c>
    </row>
    <row r="3183">
      <c r="A3183" s="1" t="str">
        <f>IFERROR(__xludf.DUMMYFUNCTION("""COMPUTED_VALUE"""),"PTICU")</f>
        <v>PTICU</v>
      </c>
    </row>
    <row r="3184">
      <c r="A3184" s="1" t="str">
        <f>IFERROR(__xludf.DUMMYFUNCTION("""COMPUTED_VALUE"""),"PTICW")</f>
        <v>PTICW</v>
      </c>
    </row>
    <row r="3185">
      <c r="A3185" s="1" t="str">
        <f>IFERROR(__xludf.DUMMYFUNCTION("""COMPUTED_VALUE"""),"PTIX")</f>
        <v>PTIX</v>
      </c>
    </row>
    <row r="3186">
      <c r="A3186" s="1" t="str">
        <f>IFERROR(__xludf.DUMMYFUNCTION("""COMPUTED_VALUE"""),"PTIXW")</f>
        <v>PTIXW</v>
      </c>
    </row>
    <row r="3187">
      <c r="A3187" s="1" t="str">
        <f>IFERROR(__xludf.DUMMYFUNCTION("""COMPUTED_VALUE"""),"PTMN")</f>
        <v>PTMN</v>
      </c>
    </row>
    <row r="3188">
      <c r="A3188" s="1" t="str">
        <f>IFERROR(__xludf.DUMMYFUNCTION("""COMPUTED_VALUE"""),"PTNR")</f>
        <v>PTNR</v>
      </c>
    </row>
    <row r="3189">
      <c r="A3189" s="1" t="str">
        <f>IFERROR(__xludf.DUMMYFUNCTION("""COMPUTED_VALUE"""),"PTOC")</f>
        <v>PTOC</v>
      </c>
    </row>
    <row r="3190">
      <c r="A3190" s="1" t="str">
        <f>IFERROR(__xludf.DUMMYFUNCTION("""COMPUTED_VALUE"""),"PTOCU")</f>
        <v>PTOCU</v>
      </c>
    </row>
    <row r="3191">
      <c r="A3191" s="1" t="str">
        <f>IFERROR(__xludf.DUMMYFUNCTION("""COMPUTED_VALUE"""),"PTOCW")</f>
        <v>PTOCW</v>
      </c>
    </row>
    <row r="3192">
      <c r="A3192" s="1" t="str">
        <f>IFERROR(__xludf.DUMMYFUNCTION("""COMPUTED_VALUE"""),"PTON")</f>
        <v>PTON</v>
      </c>
    </row>
    <row r="3193">
      <c r="A3193" s="1" t="str">
        <f>IFERROR(__xludf.DUMMYFUNCTION("""COMPUTED_VALUE"""),"PTPI")</f>
        <v>PTPI</v>
      </c>
    </row>
    <row r="3194">
      <c r="A3194" s="1" t="str">
        <f>IFERROR(__xludf.DUMMYFUNCTION("""COMPUTED_VALUE"""),"PTRA")</f>
        <v>PTRA</v>
      </c>
    </row>
    <row r="3195">
      <c r="A3195" s="1" t="str">
        <f>IFERROR(__xludf.DUMMYFUNCTION("""COMPUTED_VALUE"""),"PTRAW")</f>
        <v>PTRAW</v>
      </c>
    </row>
    <row r="3196">
      <c r="A3196" s="1" t="str">
        <f>IFERROR(__xludf.DUMMYFUNCTION("""COMPUTED_VALUE"""),"PTRS")</f>
        <v>PTRS</v>
      </c>
    </row>
    <row r="3197">
      <c r="A3197" s="1" t="str">
        <f>IFERROR(__xludf.DUMMYFUNCTION("""COMPUTED_VALUE"""),"PTSI")</f>
        <v>PTSI</v>
      </c>
    </row>
    <row r="3198">
      <c r="A3198" s="1" t="str">
        <f>IFERROR(__xludf.DUMMYFUNCTION("""COMPUTED_VALUE"""),"PTVE")</f>
        <v>PTVE</v>
      </c>
    </row>
    <row r="3199">
      <c r="A3199" s="1" t="str">
        <f>IFERROR(__xludf.DUMMYFUNCTION("""COMPUTED_VALUE"""),"PUBM")</f>
        <v>PUBM</v>
      </c>
    </row>
    <row r="3200">
      <c r="A3200" s="1" t="str">
        <f>IFERROR(__xludf.DUMMYFUNCTION("""COMPUTED_VALUE"""),"PUCK")</f>
        <v>PUCK</v>
      </c>
    </row>
    <row r="3201">
      <c r="A3201" s="1" t="str">
        <f>IFERROR(__xludf.DUMMYFUNCTION("""COMPUTED_VALUE"""),"PUCKU")</f>
        <v>PUCKU</v>
      </c>
    </row>
    <row r="3202">
      <c r="A3202" s="1" t="str">
        <f>IFERROR(__xludf.DUMMYFUNCTION("""COMPUTED_VALUE"""),"PUCKW")</f>
        <v>PUCKW</v>
      </c>
    </row>
    <row r="3203">
      <c r="A3203" s="1" t="str">
        <f>IFERROR(__xludf.DUMMYFUNCTION("""COMPUTED_VALUE"""),"PULM")</f>
        <v>PULM</v>
      </c>
    </row>
    <row r="3204">
      <c r="A3204" s="1" t="str">
        <f>IFERROR(__xludf.DUMMYFUNCTION("""COMPUTED_VALUE"""),"PUYI")</f>
        <v>PUYI</v>
      </c>
    </row>
    <row r="3205">
      <c r="A3205" s="1" t="str">
        <f>IFERROR(__xludf.DUMMYFUNCTION("""COMPUTED_VALUE"""),"PVAC")</f>
        <v>PVAC</v>
      </c>
    </row>
    <row r="3206">
      <c r="A3206" s="1" t="str">
        <f>IFERROR(__xludf.DUMMYFUNCTION("""COMPUTED_VALUE"""),"PVBC")</f>
        <v>PVBC</v>
      </c>
    </row>
    <row r="3207">
      <c r="A3207" s="1" t="str">
        <f>IFERROR(__xludf.DUMMYFUNCTION("""COMPUTED_VALUE"""),"PWFL")</f>
        <v>PWFL</v>
      </c>
    </row>
    <row r="3208">
      <c r="A3208" s="1" t="str">
        <f>IFERROR(__xludf.DUMMYFUNCTION("""COMPUTED_VALUE"""),"PWOD")</f>
        <v>PWOD</v>
      </c>
    </row>
    <row r="3209">
      <c r="A3209" s="1" t="str">
        <f>IFERROR(__xludf.DUMMYFUNCTION("""COMPUTED_VALUE"""),"PWP")</f>
        <v>PWP</v>
      </c>
    </row>
    <row r="3210">
      <c r="A3210" s="1" t="str">
        <f>IFERROR(__xludf.DUMMYFUNCTION("""COMPUTED_VALUE"""),"PWPPW")</f>
        <v>PWPPW</v>
      </c>
    </row>
    <row r="3211">
      <c r="A3211" s="1" t="str">
        <f>IFERROR(__xludf.DUMMYFUNCTION("""COMPUTED_VALUE"""),"PXLW")</f>
        <v>PXLW</v>
      </c>
    </row>
    <row r="3212">
      <c r="A3212" s="1" t="str">
        <f>IFERROR(__xludf.DUMMYFUNCTION("""COMPUTED_VALUE"""),"PXS")</f>
        <v>PXS</v>
      </c>
    </row>
    <row r="3213">
      <c r="A3213" s="1" t="str">
        <f>IFERROR(__xludf.DUMMYFUNCTION("""COMPUTED_VALUE"""),"PXSAP")</f>
        <v>PXSAP</v>
      </c>
    </row>
    <row r="3214">
      <c r="A3214" s="1" t="str">
        <f>IFERROR(__xludf.DUMMYFUNCTION("""COMPUTED_VALUE"""),"PXSAW")</f>
        <v>PXSAW</v>
      </c>
    </row>
    <row r="3215">
      <c r="A3215" s="1" t="str">
        <f>IFERROR(__xludf.DUMMYFUNCTION("""COMPUTED_VALUE"""),"PYCR")</f>
        <v>PYCR</v>
      </c>
    </row>
    <row r="3216">
      <c r="A3216" s="1" t="str">
        <f>IFERROR(__xludf.DUMMYFUNCTION("""COMPUTED_VALUE"""),"PYPD")</f>
        <v>PYPD</v>
      </c>
    </row>
    <row r="3217">
      <c r="A3217" s="1" t="str">
        <f>IFERROR(__xludf.DUMMYFUNCTION("""COMPUTED_VALUE"""),"PYPL")</f>
        <v>PYPL</v>
      </c>
    </row>
    <row r="3218">
      <c r="A3218" s="1" t="str">
        <f>IFERROR(__xludf.DUMMYFUNCTION("""COMPUTED_VALUE"""),"PYR")</f>
        <v>PYR</v>
      </c>
    </row>
    <row r="3219">
      <c r="A3219" s="1" t="str">
        <f>IFERROR(__xludf.DUMMYFUNCTION("""COMPUTED_VALUE"""),"PZZA")</f>
        <v>PZZA</v>
      </c>
    </row>
    <row r="3220">
      <c r="A3220" s="1" t="str">
        <f>IFERROR(__xludf.DUMMYFUNCTION("""COMPUTED_VALUE"""),"QADA")</f>
        <v>QADA</v>
      </c>
    </row>
    <row r="3221">
      <c r="A3221" s="1" t="str">
        <f>IFERROR(__xludf.DUMMYFUNCTION("""COMPUTED_VALUE"""),"QADB")</f>
        <v>QADB</v>
      </c>
    </row>
    <row r="3222">
      <c r="A3222" s="1" t="str">
        <f>IFERROR(__xludf.DUMMYFUNCTION("""COMPUTED_VALUE"""),"QCOM")</f>
        <v>QCOM</v>
      </c>
    </row>
    <row r="3223">
      <c r="A3223" s="1" t="str">
        <f>IFERROR(__xludf.DUMMYFUNCTION("""COMPUTED_VALUE"""),"QCRH")</f>
        <v>QCRH</v>
      </c>
    </row>
    <row r="3224">
      <c r="A3224" s="1" t="str">
        <f>IFERROR(__xludf.DUMMYFUNCTION("""COMPUTED_VALUE"""),"QDEL")</f>
        <v>QDEL</v>
      </c>
    </row>
    <row r="3225">
      <c r="A3225" s="1" t="str">
        <f>IFERROR(__xludf.DUMMYFUNCTION("""COMPUTED_VALUE"""),"QELL")</f>
        <v>QELL</v>
      </c>
    </row>
    <row r="3226">
      <c r="A3226" s="1" t="str">
        <f>IFERROR(__xludf.DUMMYFUNCTION("""COMPUTED_VALUE"""),"QELLU")</f>
        <v>QELLU</v>
      </c>
    </row>
    <row r="3227">
      <c r="A3227" s="1" t="str">
        <f>IFERROR(__xludf.DUMMYFUNCTION("""COMPUTED_VALUE"""),"QELLW")</f>
        <v>QELLW</v>
      </c>
    </row>
    <row r="3228">
      <c r="A3228" s="1" t="str">
        <f>IFERROR(__xludf.DUMMYFUNCTION("""COMPUTED_VALUE"""),"QFIN")</f>
        <v>QFIN</v>
      </c>
    </row>
    <row r="3229">
      <c r="A3229" s="1" t="str">
        <f>IFERROR(__xludf.DUMMYFUNCTION("""COMPUTED_VALUE"""),"QH")</f>
        <v>QH</v>
      </c>
    </row>
    <row r="3230">
      <c r="A3230" s="1" t="str">
        <f>IFERROR(__xludf.DUMMYFUNCTION("""COMPUTED_VALUE"""),"QIPT")</f>
        <v>QIPT</v>
      </c>
    </row>
    <row r="3231">
      <c r="A3231" s="1" t="str">
        <f>IFERROR(__xludf.DUMMYFUNCTION("""COMPUTED_VALUE"""),"QIWI")</f>
        <v>QIWI</v>
      </c>
    </row>
    <row r="3232">
      <c r="A3232" s="1" t="str">
        <f>IFERROR(__xludf.DUMMYFUNCTION("""COMPUTED_VALUE"""),"QK")</f>
        <v>QK</v>
      </c>
    </row>
    <row r="3233">
      <c r="A3233" s="1" t="str">
        <f>IFERROR(__xludf.DUMMYFUNCTION("""COMPUTED_VALUE"""),"QLGN")</f>
        <v>QLGN</v>
      </c>
    </row>
    <row r="3234">
      <c r="A3234" s="1" t="str">
        <f>IFERROR(__xludf.DUMMYFUNCTION("""COMPUTED_VALUE"""),"QLI")</f>
        <v>QLI</v>
      </c>
    </row>
    <row r="3235">
      <c r="A3235" s="1" t="str">
        <f>IFERROR(__xludf.DUMMYFUNCTION("""COMPUTED_VALUE"""),"QLYS")</f>
        <v>QLYS</v>
      </c>
    </row>
    <row r="3236">
      <c r="A3236" s="1" t="str">
        <f>IFERROR(__xludf.DUMMYFUNCTION("""COMPUTED_VALUE"""),"QMCO")</f>
        <v>QMCO</v>
      </c>
    </row>
    <row r="3237">
      <c r="A3237" s="1" t="str">
        <f>IFERROR(__xludf.DUMMYFUNCTION("""COMPUTED_VALUE"""),"QNST")</f>
        <v>QNST</v>
      </c>
    </row>
    <row r="3238">
      <c r="A3238" s="1" t="str">
        <f>IFERROR(__xludf.DUMMYFUNCTION("""COMPUTED_VALUE"""),"QQQX")</f>
        <v>QQQX</v>
      </c>
    </row>
    <row r="3239">
      <c r="A3239" s="1" t="str">
        <f>IFERROR(__xludf.DUMMYFUNCTION("""COMPUTED_VALUE"""),"QRHC")</f>
        <v>QRHC</v>
      </c>
    </row>
    <row r="3240">
      <c r="A3240" s="1" t="str">
        <f>IFERROR(__xludf.DUMMYFUNCTION("""COMPUTED_VALUE"""),"QRTEA")</f>
        <v>QRTEA</v>
      </c>
    </row>
    <row r="3241">
      <c r="A3241" s="1" t="str">
        <f>IFERROR(__xludf.DUMMYFUNCTION("""COMPUTED_VALUE"""),"QRTEB")</f>
        <v>QRTEB</v>
      </c>
    </row>
    <row r="3242">
      <c r="A3242" s="1" t="str">
        <f>IFERROR(__xludf.DUMMYFUNCTION("""COMPUTED_VALUE"""),"QRTEP")</f>
        <v>QRTEP</v>
      </c>
    </row>
    <row r="3243">
      <c r="A3243" s="1" t="str">
        <f>IFERROR(__xludf.DUMMYFUNCTION("""COMPUTED_VALUE"""),"QRVO")</f>
        <v>QRVO</v>
      </c>
    </row>
    <row r="3244">
      <c r="A3244" s="1" t="str">
        <f>IFERROR(__xludf.DUMMYFUNCTION("""COMPUTED_VALUE"""),"QSI")</f>
        <v>QSI</v>
      </c>
    </row>
    <row r="3245">
      <c r="A3245" s="1" t="str">
        <f>IFERROR(__xludf.DUMMYFUNCTION("""COMPUTED_VALUE"""),"QSIAW")</f>
        <v>QSIAW</v>
      </c>
    </row>
    <row r="3246">
      <c r="A3246" s="1" t="str">
        <f>IFERROR(__xludf.DUMMYFUNCTION("""COMPUTED_VALUE"""),"QTNT")</f>
        <v>QTNT</v>
      </c>
    </row>
    <row r="3247">
      <c r="A3247" s="1" t="str">
        <f>IFERROR(__xludf.DUMMYFUNCTION("""COMPUTED_VALUE"""),"QTRX")</f>
        <v>QTRX</v>
      </c>
    </row>
    <row r="3248">
      <c r="A3248" s="1" t="str">
        <f>IFERROR(__xludf.DUMMYFUNCTION("""COMPUTED_VALUE"""),"QTT")</f>
        <v>QTT</v>
      </c>
    </row>
    <row r="3249">
      <c r="A3249" s="1" t="str">
        <f>IFERROR(__xludf.DUMMYFUNCTION("""COMPUTED_VALUE"""),"QUBT")</f>
        <v>QUBT</v>
      </c>
    </row>
    <row r="3250">
      <c r="A3250" s="1" t="str">
        <f>IFERROR(__xludf.DUMMYFUNCTION("""COMPUTED_VALUE"""),"QUIK")</f>
        <v>QUIK</v>
      </c>
    </row>
    <row r="3251">
      <c r="A3251" s="1" t="str">
        <f>IFERROR(__xludf.DUMMYFUNCTION("""COMPUTED_VALUE"""),"QUMU")</f>
        <v>QUMU</v>
      </c>
    </row>
    <row r="3252">
      <c r="A3252" s="1" t="str">
        <f>IFERROR(__xludf.DUMMYFUNCTION("""COMPUTED_VALUE"""),"QURE")</f>
        <v>QURE</v>
      </c>
    </row>
    <row r="3253">
      <c r="A3253" s="1" t="str">
        <f>IFERROR(__xludf.DUMMYFUNCTION("""COMPUTED_VALUE"""),"RADA")</f>
        <v>RADA</v>
      </c>
    </row>
    <row r="3254">
      <c r="A3254" s="1" t="str">
        <f>IFERROR(__xludf.DUMMYFUNCTION("""COMPUTED_VALUE"""),"RADI")</f>
        <v>RADI</v>
      </c>
    </row>
    <row r="3255">
      <c r="A3255" s="1" t="str">
        <f>IFERROR(__xludf.DUMMYFUNCTION("""COMPUTED_VALUE"""),"RAIL")</f>
        <v>RAIL</v>
      </c>
    </row>
    <row r="3256">
      <c r="A3256" s="1" t="str">
        <f>IFERROR(__xludf.DUMMYFUNCTION("""COMPUTED_VALUE"""),"RAIN")</f>
        <v>RAIN</v>
      </c>
    </row>
    <row r="3257">
      <c r="A3257" s="1" t="str">
        <f>IFERROR(__xludf.DUMMYFUNCTION("""COMPUTED_VALUE"""),"RAM")</f>
        <v>RAM</v>
      </c>
    </row>
    <row r="3258">
      <c r="A3258" s="1" t="str">
        <f>IFERROR(__xludf.DUMMYFUNCTION("""COMPUTED_VALUE"""),"RAMMU")</f>
        <v>RAMMU</v>
      </c>
    </row>
    <row r="3259">
      <c r="A3259" s="1" t="str">
        <f>IFERROR(__xludf.DUMMYFUNCTION("""COMPUTED_VALUE"""),"RAMMW")</f>
        <v>RAMMW</v>
      </c>
    </row>
    <row r="3260">
      <c r="A3260" s="1" t="str">
        <f>IFERROR(__xludf.DUMMYFUNCTION("""COMPUTED_VALUE"""),"RAND")</f>
        <v>RAND</v>
      </c>
    </row>
    <row r="3261">
      <c r="A3261" s="1" t="str">
        <f>IFERROR(__xludf.DUMMYFUNCTION("""COMPUTED_VALUE"""),"RANI")</f>
        <v>RANI</v>
      </c>
    </row>
    <row r="3262">
      <c r="A3262" s="1" t="str">
        <f>IFERROR(__xludf.DUMMYFUNCTION("""COMPUTED_VALUE"""),"RAPT")</f>
        <v>RAPT</v>
      </c>
    </row>
    <row r="3263">
      <c r="A3263" s="1" t="str">
        <f>IFERROR(__xludf.DUMMYFUNCTION("""COMPUTED_VALUE"""),"RARE")</f>
        <v>RARE</v>
      </c>
    </row>
    <row r="3264">
      <c r="A3264" s="1" t="str">
        <f>IFERROR(__xludf.DUMMYFUNCTION("""COMPUTED_VALUE"""),"RAVE")</f>
        <v>RAVE</v>
      </c>
    </row>
    <row r="3265">
      <c r="A3265" s="1" t="str">
        <f>IFERROR(__xludf.DUMMYFUNCTION("""COMPUTED_VALUE"""),"RAVN")</f>
        <v>RAVN</v>
      </c>
    </row>
    <row r="3266">
      <c r="A3266" s="1" t="str">
        <f>IFERROR(__xludf.DUMMYFUNCTION("""COMPUTED_VALUE"""),"RBB")</f>
        <v>RBB</v>
      </c>
    </row>
    <row r="3267">
      <c r="A3267" s="1" t="str">
        <f>IFERROR(__xludf.DUMMYFUNCTION("""COMPUTED_VALUE"""),"RBBN")</f>
        <v>RBBN</v>
      </c>
    </row>
    <row r="3268">
      <c r="A3268" s="1" t="str">
        <f>IFERROR(__xludf.DUMMYFUNCTION("""COMPUTED_VALUE"""),"RBCAA")</f>
        <v>RBCAA</v>
      </c>
    </row>
    <row r="3269">
      <c r="A3269" s="1" t="str">
        <f>IFERROR(__xludf.DUMMYFUNCTION("""COMPUTED_VALUE"""),"RBCN")</f>
        <v>RBCN</v>
      </c>
    </row>
    <row r="3270">
      <c r="A3270" s="1" t="str">
        <f>IFERROR(__xludf.DUMMYFUNCTION("""COMPUTED_VALUE"""),"RBKB")</f>
        <v>RBKB</v>
      </c>
    </row>
    <row r="3271">
      <c r="A3271" s="1" t="str">
        <f>IFERROR(__xludf.DUMMYFUNCTION("""COMPUTED_VALUE"""),"RBNC")</f>
        <v>RBNC</v>
      </c>
    </row>
    <row r="3272">
      <c r="A3272" s="1" t="str">
        <f>IFERROR(__xludf.DUMMYFUNCTION("""COMPUTED_VALUE"""),"RCAT")</f>
        <v>RCAT</v>
      </c>
    </row>
    <row r="3273">
      <c r="A3273" s="1" t="str">
        <f>IFERROR(__xludf.DUMMYFUNCTION("""COMPUTED_VALUE"""),"RCEL")</f>
        <v>RCEL</v>
      </c>
    </row>
    <row r="3274">
      <c r="A3274" s="1" t="str">
        <f>IFERROR(__xludf.DUMMYFUNCTION("""COMPUTED_VALUE"""),"RCHG")</f>
        <v>RCHG</v>
      </c>
    </row>
    <row r="3275">
      <c r="A3275" s="1" t="str">
        <f>IFERROR(__xludf.DUMMYFUNCTION("""COMPUTED_VALUE"""),"RCHGW")</f>
        <v>RCHGW</v>
      </c>
    </row>
    <row r="3276">
      <c r="A3276" s="1" t="str">
        <f>IFERROR(__xludf.DUMMYFUNCTION("""COMPUTED_VALUE"""),"RCII")</f>
        <v>RCII</v>
      </c>
    </row>
    <row r="3277">
      <c r="A3277" s="1" t="str">
        <f>IFERROR(__xludf.DUMMYFUNCTION("""COMPUTED_VALUE"""),"RCKT")</f>
        <v>RCKT</v>
      </c>
    </row>
    <row r="3278">
      <c r="A3278" s="1" t="str">
        <f>IFERROR(__xludf.DUMMYFUNCTION("""COMPUTED_VALUE"""),"RCKY")</f>
        <v>RCKY</v>
      </c>
    </row>
    <row r="3279">
      <c r="A3279" s="1" t="str">
        <f>IFERROR(__xludf.DUMMYFUNCTION("""COMPUTED_VALUE"""),"RCLF")</f>
        <v>RCLF</v>
      </c>
    </row>
    <row r="3280">
      <c r="A3280" s="1" t="str">
        <f>IFERROR(__xludf.DUMMYFUNCTION("""COMPUTED_VALUE"""),"RCLFU")</f>
        <v>RCLFU</v>
      </c>
    </row>
    <row r="3281">
      <c r="A3281" s="1" t="str">
        <f>IFERROR(__xludf.DUMMYFUNCTION("""COMPUTED_VALUE"""),"RCLFW")</f>
        <v>RCLFW</v>
      </c>
    </row>
    <row r="3282">
      <c r="A3282" s="1" t="str">
        <f>IFERROR(__xludf.DUMMYFUNCTION("""COMPUTED_VALUE"""),"RCM")</f>
        <v>RCM</v>
      </c>
    </row>
    <row r="3283">
      <c r="A3283" s="1" t="str">
        <f>IFERROR(__xludf.DUMMYFUNCTION("""COMPUTED_VALUE"""),"RCMT")</f>
        <v>RCMT</v>
      </c>
    </row>
    <row r="3284">
      <c r="A3284" s="1" t="str">
        <f>IFERROR(__xludf.DUMMYFUNCTION("""COMPUTED_VALUE"""),"RCON")</f>
        <v>RCON</v>
      </c>
    </row>
    <row r="3285">
      <c r="A3285" s="1" t="str">
        <f>IFERROR(__xludf.DUMMYFUNCTION("""COMPUTED_VALUE"""),"RCRT")</f>
        <v>RCRT</v>
      </c>
    </row>
    <row r="3286">
      <c r="A3286" s="1" t="str">
        <f>IFERROR(__xludf.DUMMYFUNCTION("""COMPUTED_VALUE"""),"RDCM")</f>
        <v>RDCM</v>
      </c>
    </row>
    <row r="3287">
      <c r="A3287" s="1" t="str">
        <f>IFERROR(__xludf.DUMMYFUNCTION("""COMPUTED_VALUE"""),"RDFN")</f>
        <v>RDFN</v>
      </c>
    </row>
    <row r="3288">
      <c r="A3288" s="1" t="str">
        <f>IFERROR(__xludf.DUMMYFUNCTION("""COMPUTED_VALUE"""),"RDHL")</f>
        <v>RDHL</v>
      </c>
    </row>
    <row r="3289">
      <c r="A3289" s="1" t="str">
        <f>IFERROR(__xludf.DUMMYFUNCTION("""COMPUTED_VALUE"""),"RDI")</f>
        <v>RDI</v>
      </c>
    </row>
    <row r="3290">
      <c r="A3290" s="1" t="str">
        <f>IFERROR(__xludf.DUMMYFUNCTION("""COMPUTED_VALUE"""),"RDIB")</f>
        <v>RDIB</v>
      </c>
    </row>
    <row r="3291">
      <c r="A3291" s="1" t="str">
        <f>IFERROR(__xludf.DUMMYFUNCTION("""COMPUTED_VALUE"""),"RDNT")</f>
        <v>RDNT</v>
      </c>
    </row>
    <row r="3292">
      <c r="A3292" s="1" t="str">
        <f>IFERROR(__xludf.DUMMYFUNCTION("""COMPUTED_VALUE"""),"RDUS")</f>
        <v>RDUS</v>
      </c>
    </row>
    <row r="3293">
      <c r="A3293" s="1" t="str">
        <f>IFERROR(__xludf.DUMMYFUNCTION("""COMPUTED_VALUE"""),"RDVT")</f>
        <v>RDVT</v>
      </c>
    </row>
    <row r="3294">
      <c r="A3294" s="1" t="str">
        <f>IFERROR(__xludf.DUMMYFUNCTION("""COMPUTED_VALUE"""),"RDWR")</f>
        <v>RDWR</v>
      </c>
    </row>
    <row r="3295">
      <c r="A3295" s="1" t="str">
        <f>IFERROR(__xludf.DUMMYFUNCTION("""COMPUTED_VALUE"""),"REAL")</f>
        <v>REAL</v>
      </c>
    </row>
    <row r="3296">
      <c r="A3296" s="1" t="str">
        <f>IFERROR(__xludf.DUMMYFUNCTION("""COMPUTED_VALUE"""),"REAX")</f>
        <v>REAX</v>
      </c>
    </row>
    <row r="3297">
      <c r="A3297" s="1" t="str">
        <f>IFERROR(__xludf.DUMMYFUNCTION("""COMPUTED_VALUE"""),"REDU")</f>
        <v>REDU</v>
      </c>
    </row>
    <row r="3298">
      <c r="A3298" s="1" t="str">
        <f>IFERROR(__xludf.DUMMYFUNCTION("""COMPUTED_VALUE"""),"REE")</f>
        <v>REE</v>
      </c>
    </row>
    <row r="3299">
      <c r="A3299" s="1" t="str">
        <f>IFERROR(__xludf.DUMMYFUNCTION("""COMPUTED_VALUE"""),"REEAW")</f>
        <v>REEAW</v>
      </c>
    </row>
    <row r="3300">
      <c r="A3300" s="1" t="str">
        <f>IFERROR(__xludf.DUMMYFUNCTION("""COMPUTED_VALUE"""),"REED")</f>
        <v>REED</v>
      </c>
    </row>
    <row r="3301">
      <c r="A3301" s="1" t="str">
        <f>IFERROR(__xludf.DUMMYFUNCTION("""COMPUTED_VALUE"""),"REFR")</f>
        <v>REFR</v>
      </c>
    </row>
    <row r="3302">
      <c r="A3302" s="1" t="str">
        <f>IFERROR(__xludf.DUMMYFUNCTION("""COMPUTED_VALUE"""),"REG")</f>
        <v>REG</v>
      </c>
    </row>
    <row r="3303">
      <c r="A3303" s="1" t="str">
        <f>IFERROR(__xludf.DUMMYFUNCTION("""COMPUTED_VALUE"""),"REGI")</f>
        <v>REGI</v>
      </c>
    </row>
    <row r="3304">
      <c r="A3304" s="1" t="str">
        <f>IFERROR(__xludf.DUMMYFUNCTION("""COMPUTED_VALUE"""),"REGN")</f>
        <v>REGN</v>
      </c>
    </row>
    <row r="3305">
      <c r="A3305" s="1" t="str">
        <f>IFERROR(__xludf.DUMMYFUNCTION("""COMPUTED_VALUE"""),"REKR")</f>
        <v>REKR</v>
      </c>
    </row>
    <row r="3306">
      <c r="A3306" s="1" t="str">
        <f>IFERROR(__xludf.DUMMYFUNCTION("""COMPUTED_VALUE"""),"RELI")</f>
        <v>RELI</v>
      </c>
    </row>
    <row r="3307">
      <c r="A3307" s="1" t="str">
        <f>IFERROR(__xludf.DUMMYFUNCTION("""COMPUTED_VALUE"""),"RELIW")</f>
        <v>RELIW</v>
      </c>
    </row>
    <row r="3308">
      <c r="A3308" s="1" t="str">
        <f>IFERROR(__xludf.DUMMYFUNCTION("""COMPUTED_VALUE"""),"RELL")</f>
        <v>RELL</v>
      </c>
    </row>
    <row r="3309">
      <c r="A3309" s="1" t="str">
        <f>IFERROR(__xludf.DUMMYFUNCTION("""COMPUTED_VALUE"""),"REPH")</f>
        <v>REPH</v>
      </c>
    </row>
    <row r="3310">
      <c r="A3310" s="1" t="str">
        <f>IFERROR(__xludf.DUMMYFUNCTION("""COMPUTED_VALUE"""),"REPL")</f>
        <v>REPL</v>
      </c>
    </row>
    <row r="3311">
      <c r="A3311" s="1" t="str">
        <f>IFERROR(__xludf.DUMMYFUNCTION("""COMPUTED_VALUE"""),"RESN")</f>
        <v>RESN</v>
      </c>
    </row>
    <row r="3312">
      <c r="A3312" s="1" t="str">
        <f>IFERROR(__xludf.DUMMYFUNCTION("""COMPUTED_VALUE"""),"RETA")</f>
        <v>RETA</v>
      </c>
    </row>
    <row r="3313">
      <c r="A3313" s="1" t="str">
        <f>IFERROR(__xludf.DUMMYFUNCTION("""COMPUTED_VALUE"""),"RETO")</f>
        <v>RETO</v>
      </c>
    </row>
    <row r="3314">
      <c r="A3314" s="1" t="str">
        <f>IFERROR(__xludf.DUMMYFUNCTION("""COMPUTED_VALUE"""),"REVH")</f>
        <v>REVH</v>
      </c>
    </row>
    <row r="3315">
      <c r="A3315" s="1" t="str">
        <f>IFERROR(__xludf.DUMMYFUNCTION("""COMPUTED_VALUE"""),"REVHU")</f>
        <v>REVHU</v>
      </c>
    </row>
    <row r="3316">
      <c r="A3316" s="1" t="str">
        <f>IFERROR(__xludf.DUMMYFUNCTION("""COMPUTED_VALUE"""),"REVHW")</f>
        <v>REVHW</v>
      </c>
    </row>
    <row r="3317">
      <c r="A3317" s="1" t="str">
        <f>IFERROR(__xludf.DUMMYFUNCTION("""COMPUTED_VALUE"""),"REYN")</f>
        <v>REYN</v>
      </c>
    </row>
    <row r="3318">
      <c r="A3318" s="1" t="str">
        <f>IFERROR(__xludf.DUMMYFUNCTION("""COMPUTED_VALUE"""),"RFIL")</f>
        <v>RFIL</v>
      </c>
    </row>
    <row r="3319">
      <c r="A3319" s="1" t="str">
        <f>IFERROR(__xludf.DUMMYFUNCTION("""COMPUTED_VALUE"""),"RGC")</f>
        <v>RGC</v>
      </c>
    </row>
    <row r="3320">
      <c r="A3320" s="1" t="str">
        <f>IFERROR(__xludf.DUMMYFUNCTION("""COMPUTED_VALUE"""),"RGCO")</f>
        <v>RGCO</v>
      </c>
    </row>
    <row r="3321">
      <c r="A3321" s="1" t="str">
        <f>IFERROR(__xludf.DUMMYFUNCTION("""COMPUTED_VALUE"""),"RGEN")</f>
        <v>RGEN</v>
      </c>
    </row>
    <row r="3322">
      <c r="A3322" s="1" t="str">
        <f>IFERROR(__xludf.DUMMYFUNCTION("""COMPUTED_VALUE"""),"RGLD")</f>
        <v>RGLD</v>
      </c>
    </row>
    <row r="3323">
      <c r="A3323" s="1" t="str">
        <f>IFERROR(__xludf.DUMMYFUNCTION("""COMPUTED_VALUE"""),"RGLS")</f>
        <v>RGLS</v>
      </c>
    </row>
    <row r="3324">
      <c r="A3324" s="1" t="str">
        <f>IFERROR(__xludf.DUMMYFUNCTION("""COMPUTED_VALUE"""),"RGNX")</f>
        <v>RGNX</v>
      </c>
    </row>
    <row r="3325">
      <c r="A3325" s="1" t="str">
        <f>IFERROR(__xludf.DUMMYFUNCTION("""COMPUTED_VALUE"""),"RGP")</f>
        <v>RGP</v>
      </c>
    </row>
    <row r="3326">
      <c r="A3326" s="1" t="str">
        <f>IFERROR(__xludf.DUMMYFUNCTION("""COMPUTED_VALUE"""),"RIBT")</f>
        <v>RIBT</v>
      </c>
    </row>
    <row r="3327">
      <c r="A3327" s="1" t="str">
        <f>IFERROR(__xludf.DUMMYFUNCTION("""COMPUTED_VALUE"""),"RICK")</f>
        <v>RICK</v>
      </c>
    </row>
    <row r="3328">
      <c r="A3328" s="1" t="str">
        <f>IFERROR(__xludf.DUMMYFUNCTION("""COMPUTED_VALUE"""),"RICOU")</f>
        <v>RICOU</v>
      </c>
    </row>
    <row r="3329">
      <c r="A3329" s="1" t="str">
        <f>IFERROR(__xludf.DUMMYFUNCTION("""COMPUTED_VALUE"""),"RIDE")</f>
        <v>RIDE</v>
      </c>
    </row>
    <row r="3330">
      <c r="A3330" s="1" t="str">
        <f>IFERROR(__xludf.DUMMYFUNCTION("""COMPUTED_VALUE"""),"RIGL")</f>
        <v>RIGL</v>
      </c>
    </row>
    <row r="3331">
      <c r="A3331" s="1" t="str">
        <f>IFERROR(__xludf.DUMMYFUNCTION("""COMPUTED_VALUE"""),"RILY")</f>
        <v>RILY</v>
      </c>
    </row>
    <row r="3332">
      <c r="A3332" s="1" t="str">
        <f>IFERROR(__xludf.DUMMYFUNCTION("""COMPUTED_VALUE"""),"RILYH")</f>
        <v>RILYH</v>
      </c>
    </row>
    <row r="3333">
      <c r="A3333" s="1" t="str">
        <f>IFERROR(__xludf.DUMMYFUNCTION("""COMPUTED_VALUE"""),"RILYI")</f>
        <v>RILYI</v>
      </c>
    </row>
    <row r="3334">
      <c r="A3334" s="1" t="str">
        <f>IFERROR(__xludf.DUMMYFUNCTION("""COMPUTED_VALUE"""),"RILYK")</f>
        <v>RILYK</v>
      </c>
    </row>
    <row r="3335">
      <c r="A3335" s="1" t="str">
        <f>IFERROR(__xludf.DUMMYFUNCTION("""COMPUTED_VALUE"""),"RILYL")</f>
        <v>RILYL</v>
      </c>
    </row>
    <row r="3336">
      <c r="A3336" s="1" t="str">
        <f>IFERROR(__xludf.DUMMYFUNCTION("""COMPUTED_VALUE"""),"RILYM")</f>
        <v>RILYM</v>
      </c>
    </row>
    <row r="3337">
      <c r="A3337" s="1" t="str">
        <f>IFERROR(__xludf.DUMMYFUNCTION("""COMPUTED_VALUE"""),"RILYN")</f>
        <v>RILYN</v>
      </c>
    </row>
    <row r="3338">
      <c r="A3338" s="1" t="str">
        <f>IFERROR(__xludf.DUMMYFUNCTION("""COMPUTED_VALUE"""),"RILYO")</f>
        <v>RILYO</v>
      </c>
    </row>
    <row r="3339">
      <c r="A3339" s="1" t="str">
        <f>IFERROR(__xludf.DUMMYFUNCTION("""COMPUTED_VALUE"""),"RILYP")</f>
        <v>RILYP</v>
      </c>
    </row>
    <row r="3340">
      <c r="A3340" s="1" t="str">
        <f>IFERROR(__xludf.DUMMYFUNCTION("""COMPUTED_VALUE"""),"RILYT")</f>
        <v>RILYT</v>
      </c>
    </row>
    <row r="3341">
      <c r="A3341" s="1" t="str">
        <f>IFERROR(__xludf.DUMMYFUNCTION("""COMPUTED_VALUE"""),"RIOT")</f>
        <v>RIOT</v>
      </c>
    </row>
    <row r="3342">
      <c r="A3342" s="1" t="str">
        <f>IFERROR(__xludf.DUMMYFUNCTION("""COMPUTED_VALUE"""),"RIVE")</f>
        <v>RIVE</v>
      </c>
    </row>
    <row r="3343">
      <c r="A3343" s="1" t="str">
        <f>IFERROR(__xludf.DUMMYFUNCTION("""COMPUTED_VALUE"""),"RKDA")</f>
        <v>RKDA</v>
      </c>
    </row>
    <row r="3344">
      <c r="A3344" s="1" t="str">
        <f>IFERROR(__xludf.DUMMYFUNCTION("""COMPUTED_VALUE"""),"RLAY")</f>
        <v>RLAY</v>
      </c>
    </row>
    <row r="3345">
      <c r="A3345" s="1" t="str">
        <f>IFERROR(__xludf.DUMMYFUNCTION("""COMPUTED_VALUE"""),"RLMD")</f>
        <v>RLMD</v>
      </c>
    </row>
    <row r="3346">
      <c r="A3346" s="1" t="str">
        <f>IFERROR(__xludf.DUMMYFUNCTION("""COMPUTED_VALUE"""),"RLYB")</f>
        <v>RLYB</v>
      </c>
    </row>
    <row r="3347">
      <c r="A3347" s="1" t="str">
        <f>IFERROR(__xludf.DUMMYFUNCTION("""COMPUTED_VALUE"""),"RMBI")</f>
        <v>RMBI</v>
      </c>
    </row>
    <row r="3348">
      <c r="A3348" s="1" t="str">
        <f>IFERROR(__xludf.DUMMYFUNCTION("""COMPUTED_VALUE"""),"RMBL")</f>
        <v>RMBL</v>
      </c>
    </row>
    <row r="3349">
      <c r="A3349" s="1" t="str">
        <f>IFERROR(__xludf.DUMMYFUNCTION("""COMPUTED_VALUE"""),"RMBS")</f>
        <v>RMBS</v>
      </c>
    </row>
    <row r="3350">
      <c r="A3350" s="1" t="str">
        <f>IFERROR(__xludf.DUMMYFUNCTION("""COMPUTED_VALUE"""),"RMCF")</f>
        <v>RMCF</v>
      </c>
    </row>
    <row r="3351">
      <c r="A3351" s="1" t="str">
        <f>IFERROR(__xludf.DUMMYFUNCTION("""COMPUTED_VALUE"""),"RMGB")</f>
        <v>RMGB</v>
      </c>
    </row>
    <row r="3352">
      <c r="A3352" s="1" t="str">
        <f>IFERROR(__xludf.DUMMYFUNCTION("""COMPUTED_VALUE"""),"RMGBU")</f>
        <v>RMGBU</v>
      </c>
    </row>
    <row r="3353">
      <c r="A3353" s="1" t="str">
        <f>IFERROR(__xludf.DUMMYFUNCTION("""COMPUTED_VALUE"""),"RMGBW")</f>
        <v>RMGBW</v>
      </c>
    </row>
    <row r="3354">
      <c r="A3354" s="1" t="str">
        <f>IFERROR(__xludf.DUMMYFUNCTION("""COMPUTED_VALUE"""),"RMGC")</f>
        <v>RMGC</v>
      </c>
    </row>
    <row r="3355">
      <c r="A3355" s="1" t="str">
        <f>IFERROR(__xludf.DUMMYFUNCTION("""COMPUTED_VALUE"""),"RMGCU")</f>
        <v>RMGCU</v>
      </c>
    </row>
    <row r="3356">
      <c r="A3356" s="1" t="str">
        <f>IFERROR(__xludf.DUMMYFUNCTION("""COMPUTED_VALUE"""),"RMNI")</f>
        <v>RMNI</v>
      </c>
    </row>
    <row r="3357">
      <c r="A3357" s="1" t="str">
        <f>IFERROR(__xludf.DUMMYFUNCTION("""COMPUTED_VALUE"""),"RMR")</f>
        <v>RMR</v>
      </c>
    </row>
    <row r="3358">
      <c r="A3358" s="1" t="str">
        <f>IFERROR(__xludf.DUMMYFUNCTION("""COMPUTED_VALUE"""),"RMRM")</f>
        <v>RMRM</v>
      </c>
    </row>
    <row r="3359">
      <c r="A3359" s="1" t="str">
        <f>IFERROR(__xludf.DUMMYFUNCTION("""COMPUTED_VALUE"""),"RMTI")</f>
        <v>RMTI</v>
      </c>
    </row>
    <row r="3360">
      <c r="A3360" s="1" t="str">
        <f>IFERROR(__xludf.DUMMYFUNCTION("""COMPUTED_VALUE"""),"RNA")</f>
        <v>RNA</v>
      </c>
    </row>
    <row r="3361">
      <c r="A3361" s="1" t="str">
        <f>IFERROR(__xludf.DUMMYFUNCTION("""COMPUTED_VALUE"""),"RNAZ")</f>
        <v>RNAZ</v>
      </c>
    </row>
    <row r="3362">
      <c r="A3362" s="1" t="str">
        <f>IFERROR(__xludf.DUMMYFUNCTION("""COMPUTED_VALUE"""),"RNDB")</f>
        <v>RNDB</v>
      </c>
    </row>
    <row r="3363">
      <c r="A3363" s="1" t="str">
        <f>IFERROR(__xludf.DUMMYFUNCTION("""COMPUTED_VALUE"""),"RNLX")</f>
        <v>RNLX</v>
      </c>
    </row>
    <row r="3364">
      <c r="A3364" s="1" t="str">
        <f>IFERROR(__xludf.DUMMYFUNCTION("""COMPUTED_VALUE"""),"RNST")</f>
        <v>RNST</v>
      </c>
    </row>
    <row r="3365">
      <c r="A3365" s="1" t="str">
        <f>IFERROR(__xludf.DUMMYFUNCTION("""COMPUTED_VALUE"""),"RNWK")</f>
        <v>RNWK</v>
      </c>
    </row>
    <row r="3366">
      <c r="A3366" s="1" t="str">
        <f>IFERROR(__xludf.DUMMYFUNCTION("""COMPUTED_VALUE"""),"ROAD")</f>
        <v>ROAD</v>
      </c>
    </row>
    <row r="3367">
      <c r="A3367" s="1" t="str">
        <f>IFERROR(__xludf.DUMMYFUNCTION("""COMPUTED_VALUE"""),"ROCK")</f>
        <v>ROCK</v>
      </c>
    </row>
    <row r="3368">
      <c r="A3368" s="1" t="str">
        <f>IFERROR(__xludf.DUMMYFUNCTION("""COMPUTED_VALUE"""),"ROCR")</f>
        <v>ROCR</v>
      </c>
    </row>
    <row r="3369">
      <c r="A3369" s="1" t="str">
        <f>IFERROR(__xludf.DUMMYFUNCTION("""COMPUTED_VALUE"""),"ROCRU")</f>
        <v>ROCRU</v>
      </c>
    </row>
    <row r="3370">
      <c r="A3370" s="1" t="str">
        <f>IFERROR(__xludf.DUMMYFUNCTION("""COMPUTED_VALUE"""),"ROCRW")</f>
        <v>ROCRW</v>
      </c>
    </row>
    <row r="3371">
      <c r="A3371" s="1" t="str">
        <f>IFERROR(__xludf.DUMMYFUNCTION("""COMPUTED_VALUE"""),"ROIC")</f>
        <v>ROIC</v>
      </c>
    </row>
    <row r="3372">
      <c r="A3372" s="1" t="str">
        <f>IFERROR(__xludf.DUMMYFUNCTION("""COMPUTED_VALUE"""),"ROKU")</f>
        <v>ROKU</v>
      </c>
    </row>
    <row r="3373">
      <c r="A3373" s="1" t="str">
        <f>IFERROR(__xludf.DUMMYFUNCTION("""COMPUTED_VALUE"""),"ROLL")</f>
        <v>ROLL</v>
      </c>
    </row>
    <row r="3374">
      <c r="A3374" s="1" t="str">
        <f>IFERROR(__xludf.DUMMYFUNCTION("""COMPUTED_VALUE"""),"ROOT")</f>
        <v>ROOT</v>
      </c>
    </row>
    <row r="3375">
      <c r="A3375" s="1" t="str">
        <f>IFERROR(__xludf.DUMMYFUNCTION("""COMPUTED_VALUE"""),"ROST")</f>
        <v>ROST</v>
      </c>
    </row>
    <row r="3376">
      <c r="A3376" s="1" t="str">
        <f>IFERROR(__xludf.DUMMYFUNCTION("""COMPUTED_VALUE"""),"ROVR")</f>
        <v>ROVR</v>
      </c>
    </row>
    <row r="3377">
      <c r="A3377" s="1" t="str">
        <f>IFERROR(__xludf.DUMMYFUNCTION("""COMPUTED_VALUE"""),"ROVRW")</f>
        <v>ROVRW</v>
      </c>
    </row>
    <row r="3378">
      <c r="A3378" s="1" t="str">
        <f>IFERROR(__xludf.DUMMYFUNCTION("""COMPUTED_VALUE"""),"RPAY")</f>
        <v>RPAY</v>
      </c>
    </row>
    <row r="3379">
      <c r="A3379" s="1" t="str">
        <f>IFERROR(__xludf.DUMMYFUNCTION("""COMPUTED_VALUE"""),"RPD")</f>
        <v>RPD</v>
      </c>
    </row>
    <row r="3380">
      <c r="A3380" s="1" t="str">
        <f>IFERROR(__xludf.DUMMYFUNCTION("""COMPUTED_VALUE"""),"RPHM")</f>
        <v>RPHM</v>
      </c>
    </row>
    <row r="3381">
      <c r="A3381" s="1" t="str">
        <f>IFERROR(__xludf.DUMMYFUNCTION("""COMPUTED_VALUE"""),"RPID")</f>
        <v>RPID</v>
      </c>
    </row>
    <row r="3382">
      <c r="A3382" s="1" t="str">
        <f>IFERROR(__xludf.DUMMYFUNCTION("""COMPUTED_VALUE"""),"RPRX")</f>
        <v>RPRX</v>
      </c>
    </row>
    <row r="3383">
      <c r="A3383" s="1" t="str">
        <f>IFERROR(__xludf.DUMMYFUNCTION("""COMPUTED_VALUE"""),"RPTX")</f>
        <v>RPTX</v>
      </c>
    </row>
    <row r="3384">
      <c r="A3384" s="1" t="str">
        <f>IFERROR(__xludf.DUMMYFUNCTION("""COMPUTED_VALUE"""),"RRBI")</f>
        <v>RRBI</v>
      </c>
    </row>
    <row r="3385">
      <c r="A3385" s="1" t="str">
        <f>IFERROR(__xludf.DUMMYFUNCTION("""COMPUTED_VALUE"""),"RRGB")</f>
        <v>RRGB</v>
      </c>
    </row>
    <row r="3386">
      <c r="A3386" s="1" t="str">
        <f>IFERROR(__xludf.DUMMYFUNCTION("""COMPUTED_VALUE"""),"RRR")</f>
        <v>RRR</v>
      </c>
    </row>
    <row r="3387">
      <c r="A3387" s="1" t="str">
        <f>IFERROR(__xludf.DUMMYFUNCTION("""COMPUTED_VALUE"""),"RSLS")</f>
        <v>RSLS</v>
      </c>
    </row>
    <row r="3388">
      <c r="A3388" s="1" t="str">
        <f>IFERROR(__xludf.DUMMYFUNCTION("""COMPUTED_VALUE"""),"RSSS")</f>
        <v>RSSS</v>
      </c>
    </row>
    <row r="3389">
      <c r="A3389" s="1" t="str">
        <f>IFERROR(__xludf.DUMMYFUNCTION("""COMPUTED_VALUE"""),"RSVR")</f>
        <v>RSVR</v>
      </c>
    </row>
    <row r="3390">
      <c r="A3390" s="1" t="str">
        <f>IFERROR(__xludf.DUMMYFUNCTION("""COMPUTED_VALUE"""),"RSVRW")</f>
        <v>RSVRW</v>
      </c>
    </row>
    <row r="3391">
      <c r="A3391" s="1" t="str">
        <f>IFERROR(__xludf.DUMMYFUNCTION("""COMPUTED_VALUE"""),"RTLR")</f>
        <v>RTLR</v>
      </c>
    </row>
    <row r="3392">
      <c r="A3392" s="1" t="str">
        <f>IFERROR(__xludf.DUMMYFUNCTION("""COMPUTED_VALUE"""),"RTPY")</f>
        <v>RTPY</v>
      </c>
    </row>
    <row r="3393">
      <c r="A3393" s="1" t="str">
        <f>IFERROR(__xludf.DUMMYFUNCTION("""COMPUTED_VALUE"""),"RTPYU")</f>
        <v>RTPYU</v>
      </c>
    </row>
    <row r="3394">
      <c r="A3394" s="1" t="str">
        <f>IFERROR(__xludf.DUMMYFUNCTION("""COMPUTED_VALUE"""),"RTPYW")</f>
        <v>RTPYW</v>
      </c>
    </row>
    <row r="3395">
      <c r="A3395" s="1" t="str">
        <f>IFERROR(__xludf.DUMMYFUNCTION("""COMPUTED_VALUE"""),"RUBY")</f>
        <v>RUBY</v>
      </c>
    </row>
    <row r="3396">
      <c r="A3396" s="1" t="str">
        <f>IFERROR(__xludf.DUMMYFUNCTION("""COMPUTED_VALUE"""),"RUN")</f>
        <v>RUN</v>
      </c>
    </row>
    <row r="3397">
      <c r="A3397" s="1" t="str">
        <f>IFERROR(__xludf.DUMMYFUNCTION("""COMPUTED_VALUE"""),"RUSHA")</f>
        <v>RUSHA</v>
      </c>
    </row>
    <row r="3398">
      <c r="A3398" s="1" t="str">
        <f>IFERROR(__xludf.DUMMYFUNCTION("""COMPUTED_VALUE"""),"RUSHB")</f>
        <v>RUSHB</v>
      </c>
    </row>
    <row r="3399">
      <c r="A3399" s="1" t="str">
        <f>IFERROR(__xludf.DUMMYFUNCTION("""COMPUTED_VALUE"""),"RUTH")</f>
        <v>RUTH</v>
      </c>
    </row>
    <row r="3400">
      <c r="A3400" s="1" t="str">
        <f>IFERROR(__xludf.DUMMYFUNCTION("""COMPUTED_VALUE"""),"RVMD")</f>
        <v>RVMD</v>
      </c>
    </row>
    <row r="3401">
      <c r="A3401" s="1" t="str">
        <f>IFERROR(__xludf.DUMMYFUNCTION("""COMPUTED_VALUE"""),"RVNC")</f>
        <v>RVNC</v>
      </c>
    </row>
    <row r="3402">
      <c r="A3402" s="1" t="str">
        <f>IFERROR(__xludf.DUMMYFUNCTION("""COMPUTED_VALUE"""),"RVPH")</f>
        <v>RVPH</v>
      </c>
    </row>
    <row r="3403">
      <c r="A3403" s="1" t="str">
        <f>IFERROR(__xludf.DUMMYFUNCTION("""COMPUTED_VALUE"""),"RVPHW")</f>
        <v>RVPHW</v>
      </c>
    </row>
    <row r="3404">
      <c r="A3404" s="1" t="str">
        <f>IFERROR(__xludf.DUMMYFUNCTION("""COMPUTED_VALUE"""),"RVSB")</f>
        <v>RVSB</v>
      </c>
    </row>
    <row r="3405">
      <c r="A3405" s="1" t="str">
        <f>IFERROR(__xludf.DUMMYFUNCTION("""COMPUTED_VALUE"""),"RWLK")</f>
        <v>RWLK</v>
      </c>
    </row>
    <row r="3406">
      <c r="A3406" s="1" t="str">
        <f>IFERROR(__xludf.DUMMYFUNCTION("""COMPUTED_VALUE"""),"RXDX")</f>
        <v>RXDX</v>
      </c>
    </row>
    <row r="3407">
      <c r="A3407" s="1" t="str">
        <f>IFERROR(__xludf.DUMMYFUNCTION("""COMPUTED_VALUE"""),"RXRA")</f>
        <v>RXRA</v>
      </c>
    </row>
    <row r="3408">
      <c r="A3408" s="1" t="str">
        <f>IFERROR(__xludf.DUMMYFUNCTION("""COMPUTED_VALUE"""),"RXRAU")</f>
        <v>RXRAU</v>
      </c>
    </row>
    <row r="3409">
      <c r="A3409" s="1" t="str">
        <f>IFERROR(__xludf.DUMMYFUNCTION("""COMPUTED_VALUE"""),"RXRX")</f>
        <v>RXRX</v>
      </c>
    </row>
    <row r="3410">
      <c r="A3410" s="1" t="str">
        <f>IFERROR(__xludf.DUMMYFUNCTION("""COMPUTED_VALUE"""),"RXST")</f>
        <v>RXST</v>
      </c>
    </row>
    <row r="3411">
      <c r="A3411" s="1" t="str">
        <f>IFERROR(__xludf.DUMMYFUNCTION("""COMPUTED_VALUE"""),"RXT")</f>
        <v>RXT</v>
      </c>
    </row>
    <row r="3412">
      <c r="A3412" s="1" t="str">
        <f>IFERROR(__xludf.DUMMYFUNCTION("""COMPUTED_VALUE"""),"RYAAY")</f>
        <v>RYAAY</v>
      </c>
    </row>
    <row r="3413">
      <c r="A3413" s="1" t="str">
        <f>IFERROR(__xludf.DUMMYFUNCTION("""COMPUTED_VALUE"""),"RYTM")</f>
        <v>RYTM</v>
      </c>
    </row>
    <row r="3414">
      <c r="A3414" s="1" t="str">
        <f>IFERROR(__xludf.DUMMYFUNCTION("""COMPUTED_VALUE"""),"RZLT")</f>
        <v>RZLT</v>
      </c>
    </row>
    <row r="3415">
      <c r="A3415" s="1" t="str">
        <f>IFERROR(__xludf.DUMMYFUNCTION("""COMPUTED_VALUE"""),"SABR")</f>
        <v>SABR</v>
      </c>
    </row>
    <row r="3416">
      <c r="A3416" s="1" t="str">
        <f>IFERROR(__xludf.DUMMYFUNCTION("""COMPUTED_VALUE"""),"SABRP")</f>
        <v>SABRP</v>
      </c>
    </row>
    <row r="3417">
      <c r="A3417" s="1" t="str">
        <f>IFERROR(__xludf.DUMMYFUNCTION("""COMPUTED_VALUE"""),"SAFM")</f>
        <v>SAFM</v>
      </c>
    </row>
    <row r="3418">
      <c r="A3418" s="1" t="str">
        <f>IFERROR(__xludf.DUMMYFUNCTION("""COMPUTED_VALUE"""),"SAFT")</f>
        <v>SAFT</v>
      </c>
    </row>
    <row r="3419">
      <c r="A3419" s="1" t="str">
        <f>IFERROR(__xludf.DUMMYFUNCTION("""COMPUTED_VALUE"""),"SAGE")</f>
        <v>SAGE</v>
      </c>
    </row>
    <row r="3420">
      <c r="A3420" s="1" t="str">
        <f>IFERROR(__xludf.DUMMYFUNCTION("""COMPUTED_VALUE"""),"SAIA")</f>
        <v>SAIA</v>
      </c>
    </row>
    <row r="3421">
      <c r="A3421" s="1" t="str">
        <f>IFERROR(__xludf.DUMMYFUNCTION("""COMPUTED_VALUE"""),"SAII")</f>
        <v>SAII</v>
      </c>
    </row>
    <row r="3422">
      <c r="A3422" s="1" t="str">
        <f>IFERROR(__xludf.DUMMYFUNCTION("""COMPUTED_VALUE"""),"SAIIU")</f>
        <v>SAIIU</v>
      </c>
    </row>
    <row r="3423">
      <c r="A3423" s="1" t="str">
        <f>IFERROR(__xludf.DUMMYFUNCTION("""COMPUTED_VALUE"""),"SAIIW")</f>
        <v>SAIIW</v>
      </c>
    </row>
    <row r="3424">
      <c r="A3424" s="1" t="str">
        <f>IFERROR(__xludf.DUMMYFUNCTION("""COMPUTED_VALUE"""),"SAL")</f>
        <v>SAL</v>
      </c>
    </row>
    <row r="3425">
      <c r="A3425" s="1" t="str">
        <f>IFERROR(__xludf.DUMMYFUNCTION("""COMPUTED_VALUE"""),"SALM")</f>
        <v>SALM</v>
      </c>
    </row>
    <row r="3426">
      <c r="A3426" s="1" t="str">
        <f>IFERROR(__xludf.DUMMYFUNCTION("""COMPUTED_VALUE"""),"SAMG")</f>
        <v>SAMG</v>
      </c>
    </row>
    <row r="3427">
      <c r="A3427" s="1" t="str">
        <f>IFERROR(__xludf.DUMMYFUNCTION("""COMPUTED_VALUE"""),"SANA")</f>
        <v>SANA</v>
      </c>
    </row>
    <row r="3428">
      <c r="A3428" s="1" t="str">
        <f>IFERROR(__xludf.DUMMYFUNCTION("""COMPUTED_VALUE"""),"SANM")</f>
        <v>SANM</v>
      </c>
    </row>
    <row r="3429">
      <c r="A3429" s="1" t="str">
        <f>IFERROR(__xludf.DUMMYFUNCTION("""COMPUTED_VALUE"""),"SANW")</f>
        <v>SANW</v>
      </c>
    </row>
    <row r="3430">
      <c r="A3430" s="1" t="str">
        <f>IFERROR(__xludf.DUMMYFUNCTION("""COMPUTED_VALUE"""),"SASR")</f>
        <v>SASR</v>
      </c>
    </row>
    <row r="3431">
      <c r="A3431" s="1" t="str">
        <f>IFERROR(__xludf.DUMMYFUNCTION("""COMPUTED_VALUE"""),"SATS")</f>
        <v>SATS</v>
      </c>
    </row>
    <row r="3432">
      <c r="A3432" s="1" t="str">
        <f>IFERROR(__xludf.DUMMYFUNCTION("""COMPUTED_VALUE"""),"SAVA")</f>
        <v>SAVA</v>
      </c>
    </row>
    <row r="3433">
      <c r="A3433" s="1" t="str">
        <f>IFERROR(__xludf.DUMMYFUNCTION("""COMPUTED_VALUE"""),"SBAC")</f>
        <v>SBAC</v>
      </c>
    </row>
    <row r="3434">
      <c r="A3434" s="1" t="str">
        <f>IFERROR(__xludf.DUMMYFUNCTION("""COMPUTED_VALUE"""),"SBBP")</f>
        <v>SBBP</v>
      </c>
    </row>
    <row r="3435">
      <c r="A3435" s="1" t="str">
        <f>IFERROR(__xludf.DUMMYFUNCTION("""COMPUTED_VALUE"""),"SBCF")</f>
        <v>SBCF</v>
      </c>
    </row>
    <row r="3436">
      <c r="A3436" s="1" t="str">
        <f>IFERROR(__xludf.DUMMYFUNCTION("""COMPUTED_VALUE"""),"SBET")</f>
        <v>SBET</v>
      </c>
    </row>
    <row r="3437">
      <c r="A3437" s="1" t="str">
        <f>IFERROR(__xludf.DUMMYFUNCTION("""COMPUTED_VALUE"""),"SBFG")</f>
        <v>SBFG</v>
      </c>
    </row>
    <row r="3438">
      <c r="A3438" s="1" t="str">
        <f>IFERROR(__xludf.DUMMYFUNCTION("""COMPUTED_VALUE"""),"SBGI")</f>
        <v>SBGI</v>
      </c>
    </row>
    <row r="3439">
      <c r="A3439" s="1" t="str">
        <f>IFERROR(__xludf.DUMMYFUNCTION("""COMPUTED_VALUE"""),"SBLK")</f>
        <v>SBLK</v>
      </c>
    </row>
    <row r="3440">
      <c r="A3440" s="1" t="str">
        <f>IFERROR(__xludf.DUMMYFUNCTION("""COMPUTED_VALUE"""),"SBNY")</f>
        <v>SBNY</v>
      </c>
    </row>
    <row r="3441">
      <c r="A3441" s="1" t="str">
        <f>IFERROR(__xludf.DUMMYFUNCTION("""COMPUTED_VALUE"""),"SBNYP")</f>
        <v>SBNYP</v>
      </c>
    </row>
    <row r="3442">
      <c r="A3442" s="1" t="str">
        <f>IFERROR(__xludf.DUMMYFUNCTION("""COMPUTED_VALUE"""),"SBRA")</f>
        <v>SBRA</v>
      </c>
    </row>
    <row r="3443">
      <c r="A3443" s="1" t="str">
        <f>IFERROR(__xludf.DUMMYFUNCTION("""COMPUTED_VALUE"""),"SBSI")</f>
        <v>SBSI</v>
      </c>
    </row>
    <row r="3444">
      <c r="A3444" s="1" t="str">
        <f>IFERROR(__xludf.DUMMYFUNCTION("""COMPUTED_VALUE"""),"SBT")</f>
        <v>SBT</v>
      </c>
    </row>
    <row r="3445">
      <c r="A3445" s="1" t="str">
        <f>IFERROR(__xludf.DUMMYFUNCTION("""COMPUTED_VALUE"""),"SBTX")</f>
        <v>SBTX</v>
      </c>
    </row>
    <row r="3446">
      <c r="A3446" s="1" t="str">
        <f>IFERROR(__xludf.DUMMYFUNCTION("""COMPUTED_VALUE"""),"SBUX")</f>
        <v>SBUX</v>
      </c>
    </row>
    <row r="3447">
      <c r="A3447" s="1" t="str">
        <f>IFERROR(__xludf.DUMMYFUNCTION("""COMPUTED_VALUE"""),"SCAQU")</f>
        <v>SCAQU</v>
      </c>
    </row>
    <row r="3448">
      <c r="A3448" s="1" t="str">
        <f>IFERROR(__xludf.DUMMYFUNCTION("""COMPUTED_VALUE"""),"SCAQW")</f>
        <v>SCAQW</v>
      </c>
    </row>
    <row r="3449">
      <c r="A3449" s="1" t="str">
        <f>IFERROR(__xludf.DUMMYFUNCTION("""COMPUTED_VALUE"""),"SCHL")</f>
        <v>SCHL</v>
      </c>
    </row>
    <row r="3450">
      <c r="A3450" s="1" t="str">
        <f>IFERROR(__xludf.DUMMYFUNCTION("""COMPUTED_VALUE"""),"SCHN")</f>
        <v>SCHN</v>
      </c>
    </row>
    <row r="3451">
      <c r="A3451" s="1" t="str">
        <f>IFERROR(__xludf.DUMMYFUNCTION("""COMPUTED_VALUE"""),"SCKT")</f>
        <v>SCKT</v>
      </c>
    </row>
    <row r="3452">
      <c r="A3452" s="1" t="str">
        <f>IFERROR(__xludf.DUMMYFUNCTION("""COMPUTED_VALUE"""),"SCLE")</f>
        <v>SCLE</v>
      </c>
    </row>
    <row r="3453">
      <c r="A3453" s="1" t="str">
        <f>IFERROR(__xludf.DUMMYFUNCTION("""COMPUTED_VALUE"""),"SCLEU")</f>
        <v>SCLEU</v>
      </c>
    </row>
    <row r="3454">
      <c r="A3454" s="1" t="str">
        <f>IFERROR(__xludf.DUMMYFUNCTION("""COMPUTED_VALUE"""),"SCLEW")</f>
        <v>SCLEW</v>
      </c>
    </row>
    <row r="3455">
      <c r="A3455" s="1" t="str">
        <f>IFERROR(__xludf.DUMMYFUNCTION("""COMPUTED_VALUE"""),"SCOA")</f>
        <v>SCOA</v>
      </c>
    </row>
    <row r="3456">
      <c r="A3456" s="1" t="str">
        <f>IFERROR(__xludf.DUMMYFUNCTION("""COMPUTED_VALUE"""),"SCOAU")</f>
        <v>SCOAU</v>
      </c>
    </row>
    <row r="3457">
      <c r="A3457" s="1" t="str">
        <f>IFERROR(__xludf.DUMMYFUNCTION("""COMPUTED_VALUE"""),"SCOAW")</f>
        <v>SCOAW</v>
      </c>
    </row>
    <row r="3458">
      <c r="A3458" s="1" t="str">
        <f>IFERROR(__xludf.DUMMYFUNCTION("""COMPUTED_VALUE"""),"SCOB")</f>
        <v>SCOB</v>
      </c>
    </row>
    <row r="3459">
      <c r="A3459" s="1" t="str">
        <f>IFERROR(__xludf.DUMMYFUNCTION("""COMPUTED_VALUE"""),"SCOBU")</f>
        <v>SCOBU</v>
      </c>
    </row>
    <row r="3460">
      <c r="A3460" s="1" t="str">
        <f>IFERROR(__xludf.DUMMYFUNCTION("""COMPUTED_VALUE"""),"SCOBW")</f>
        <v>SCOBW</v>
      </c>
    </row>
    <row r="3461">
      <c r="A3461" s="1" t="str">
        <f>IFERROR(__xludf.DUMMYFUNCTION("""COMPUTED_VALUE"""),"SCOR")</f>
        <v>SCOR</v>
      </c>
    </row>
    <row r="3462">
      <c r="A3462" s="1" t="str">
        <f>IFERROR(__xludf.DUMMYFUNCTION("""COMPUTED_VALUE"""),"SCPH")</f>
        <v>SCPH</v>
      </c>
    </row>
    <row r="3463">
      <c r="A3463" s="1" t="str">
        <f>IFERROR(__xludf.DUMMYFUNCTION("""COMPUTED_VALUE"""),"SCPL")</f>
        <v>SCPL</v>
      </c>
    </row>
    <row r="3464">
      <c r="A3464" s="1" t="str">
        <f>IFERROR(__xludf.DUMMYFUNCTION("""COMPUTED_VALUE"""),"SCPS")</f>
        <v>SCPS</v>
      </c>
    </row>
    <row r="3465">
      <c r="A3465" s="1" t="str">
        <f>IFERROR(__xludf.DUMMYFUNCTION("""COMPUTED_VALUE"""),"SCR")</f>
        <v>SCR</v>
      </c>
    </row>
    <row r="3466">
      <c r="A3466" s="1" t="str">
        <f>IFERROR(__xludf.DUMMYFUNCTION("""COMPUTED_VALUE"""),"SCSC")</f>
        <v>SCSC</v>
      </c>
    </row>
    <row r="3467">
      <c r="A3467" s="1" t="str">
        <f>IFERROR(__xludf.DUMMYFUNCTION("""COMPUTED_VALUE"""),"SCVL")</f>
        <v>SCVL</v>
      </c>
    </row>
    <row r="3468">
      <c r="A3468" s="1" t="str">
        <f>IFERROR(__xludf.DUMMYFUNCTION("""COMPUTED_VALUE"""),"SCWX")</f>
        <v>SCWX</v>
      </c>
    </row>
    <row r="3469">
      <c r="A3469" s="1" t="str">
        <f>IFERROR(__xludf.DUMMYFUNCTION("""COMPUTED_VALUE"""),"SCYX")</f>
        <v>SCYX</v>
      </c>
    </row>
    <row r="3470">
      <c r="A3470" s="1" t="str">
        <f>IFERROR(__xludf.DUMMYFUNCTION("""COMPUTED_VALUE"""),"SDAC")</f>
        <v>SDAC</v>
      </c>
    </row>
    <row r="3471">
      <c r="A3471" s="1" t="str">
        <f>IFERROR(__xludf.DUMMYFUNCTION("""COMPUTED_VALUE"""),"SDACW")</f>
        <v>SDACW</v>
      </c>
    </row>
    <row r="3472">
      <c r="A3472" s="1" t="str">
        <f>IFERROR(__xludf.DUMMYFUNCTION("""COMPUTED_VALUE"""),"SDC")</f>
        <v>SDC</v>
      </c>
    </row>
    <row r="3473">
      <c r="A3473" s="1" t="str">
        <f>IFERROR(__xludf.DUMMYFUNCTION("""COMPUTED_VALUE"""),"SDGR")</f>
        <v>SDGR</v>
      </c>
    </row>
    <row r="3474">
      <c r="A3474" s="1" t="str">
        <f>IFERROR(__xludf.DUMMYFUNCTION("""COMPUTED_VALUE"""),"SDH")</f>
        <v>SDH</v>
      </c>
    </row>
    <row r="3475">
      <c r="A3475" s="1" t="str">
        <f>IFERROR(__xludf.DUMMYFUNCTION("""COMPUTED_VALUE"""),"SEAC")</f>
        <v>SEAC</v>
      </c>
    </row>
    <row r="3476">
      <c r="A3476" s="1" t="str">
        <f>IFERROR(__xludf.DUMMYFUNCTION("""COMPUTED_VALUE"""),"SECO")</f>
        <v>SECO</v>
      </c>
    </row>
    <row r="3477">
      <c r="A3477" s="1" t="str">
        <f>IFERROR(__xludf.DUMMYFUNCTION("""COMPUTED_VALUE"""),"SEDG")</f>
        <v>SEDG</v>
      </c>
    </row>
    <row r="3478">
      <c r="A3478" s="1" t="str">
        <f>IFERROR(__xludf.DUMMYFUNCTION("""COMPUTED_VALUE"""),"SEED")</f>
        <v>SEED</v>
      </c>
    </row>
    <row r="3479">
      <c r="A3479" s="1" t="str">
        <f>IFERROR(__xludf.DUMMYFUNCTION("""COMPUTED_VALUE"""),"SEEL")</f>
        <v>SEEL</v>
      </c>
    </row>
    <row r="3480">
      <c r="A3480" s="1" t="str">
        <f>IFERROR(__xludf.DUMMYFUNCTION("""COMPUTED_VALUE"""),"SEER")</f>
        <v>SEER</v>
      </c>
    </row>
    <row r="3481">
      <c r="A3481" s="1" t="str">
        <f>IFERROR(__xludf.DUMMYFUNCTION("""COMPUTED_VALUE"""),"SEIC")</f>
        <v>SEIC</v>
      </c>
    </row>
    <row r="3482">
      <c r="A3482" s="1" t="str">
        <f>IFERROR(__xludf.DUMMYFUNCTION("""COMPUTED_VALUE"""),"SELB")</f>
        <v>SELB</v>
      </c>
    </row>
    <row r="3483">
      <c r="A3483" s="1" t="str">
        <f>IFERROR(__xludf.DUMMYFUNCTION("""COMPUTED_VALUE"""),"SELF")</f>
        <v>SELF</v>
      </c>
    </row>
    <row r="3484">
      <c r="A3484" s="1" t="str">
        <f>IFERROR(__xludf.DUMMYFUNCTION("""COMPUTED_VALUE"""),"SENEA")</f>
        <v>SENEA</v>
      </c>
    </row>
    <row r="3485">
      <c r="A3485" s="1" t="str">
        <f>IFERROR(__xludf.DUMMYFUNCTION("""COMPUTED_VALUE"""),"SENEB")</f>
        <v>SENEB</v>
      </c>
    </row>
    <row r="3486">
      <c r="A3486" s="1" t="str">
        <f>IFERROR(__xludf.DUMMYFUNCTION("""COMPUTED_VALUE"""),"SERA")</f>
        <v>SERA</v>
      </c>
    </row>
    <row r="3487">
      <c r="A3487" s="1" t="str">
        <f>IFERROR(__xludf.DUMMYFUNCTION("""COMPUTED_VALUE"""),"SESN")</f>
        <v>SESN</v>
      </c>
    </row>
    <row r="3488">
      <c r="A3488" s="1" t="str">
        <f>IFERROR(__xludf.DUMMYFUNCTION("""COMPUTED_VALUE"""),"SFBC")</f>
        <v>SFBC</v>
      </c>
    </row>
    <row r="3489">
      <c r="A3489" s="1" t="str">
        <f>IFERROR(__xludf.DUMMYFUNCTION("""COMPUTED_VALUE"""),"SFET")</f>
        <v>SFET</v>
      </c>
    </row>
    <row r="3490">
      <c r="A3490" s="1" t="str">
        <f>IFERROR(__xludf.DUMMYFUNCTION("""COMPUTED_VALUE"""),"SFIX")</f>
        <v>SFIX</v>
      </c>
    </row>
    <row r="3491">
      <c r="A3491" s="1" t="str">
        <f>IFERROR(__xludf.DUMMYFUNCTION("""COMPUTED_VALUE"""),"SFM")</f>
        <v>SFM</v>
      </c>
    </row>
    <row r="3492">
      <c r="A3492" s="1" t="str">
        <f>IFERROR(__xludf.DUMMYFUNCTION("""COMPUTED_VALUE"""),"SFNC")</f>
        <v>SFNC</v>
      </c>
    </row>
    <row r="3493">
      <c r="A3493" s="1" t="str">
        <f>IFERROR(__xludf.DUMMYFUNCTION("""COMPUTED_VALUE"""),"SFST")</f>
        <v>SFST</v>
      </c>
    </row>
    <row r="3494">
      <c r="A3494" s="1" t="str">
        <f>IFERROR(__xludf.DUMMYFUNCTION("""COMPUTED_VALUE"""),"SFT")</f>
        <v>SFT</v>
      </c>
    </row>
    <row r="3495">
      <c r="A3495" s="1" t="str">
        <f>IFERROR(__xludf.DUMMYFUNCTION("""COMPUTED_VALUE"""),"SGA")</f>
        <v>SGA</v>
      </c>
    </row>
    <row r="3496">
      <c r="A3496" s="1" t="str">
        <f>IFERROR(__xludf.DUMMYFUNCTION("""COMPUTED_VALUE"""),"SGAM")</f>
        <v>SGAM</v>
      </c>
    </row>
    <row r="3497">
      <c r="A3497" s="1" t="str">
        <f>IFERROR(__xludf.DUMMYFUNCTION("""COMPUTED_VALUE"""),"SGAMW")</f>
        <v>SGAMW</v>
      </c>
    </row>
    <row r="3498">
      <c r="A3498" s="1" t="str">
        <f>IFERROR(__xludf.DUMMYFUNCTION("""COMPUTED_VALUE"""),"SGBX")</f>
        <v>SGBX</v>
      </c>
    </row>
    <row r="3499">
      <c r="A3499" s="1" t="str">
        <f>IFERROR(__xludf.DUMMYFUNCTION("""COMPUTED_VALUE"""),"SGC")</f>
        <v>SGC</v>
      </c>
    </row>
    <row r="3500">
      <c r="A3500" s="1" t="str">
        <f>IFERROR(__xludf.DUMMYFUNCTION("""COMPUTED_VALUE"""),"SGEN")</f>
        <v>SGEN</v>
      </c>
    </row>
    <row r="3501">
      <c r="A3501" s="1" t="str">
        <f>IFERROR(__xludf.DUMMYFUNCTION("""COMPUTED_VALUE"""),"SGH")</f>
        <v>SGH</v>
      </c>
    </row>
    <row r="3502">
      <c r="A3502" s="1" t="str">
        <f>IFERROR(__xludf.DUMMYFUNCTION("""COMPUTED_VALUE"""),"SGHT")</f>
        <v>SGHT</v>
      </c>
    </row>
    <row r="3503">
      <c r="A3503" s="1" t="str">
        <f>IFERROR(__xludf.DUMMYFUNCTION("""COMPUTED_VALUE"""),"SGLB")</f>
        <v>SGLB</v>
      </c>
    </row>
    <row r="3504">
      <c r="A3504" s="1" t="str">
        <f>IFERROR(__xludf.DUMMYFUNCTION("""COMPUTED_VALUE"""),"SGLBW")</f>
        <v>SGLBW</v>
      </c>
    </row>
    <row r="3505">
      <c r="A3505" s="1" t="str">
        <f>IFERROR(__xludf.DUMMYFUNCTION("""COMPUTED_VALUE"""),"SGMA")</f>
        <v>SGMA</v>
      </c>
    </row>
    <row r="3506">
      <c r="A3506" s="1" t="str">
        <f>IFERROR(__xludf.DUMMYFUNCTION("""COMPUTED_VALUE"""),"SGMO")</f>
        <v>SGMO</v>
      </c>
    </row>
    <row r="3507">
      <c r="A3507" s="1" t="str">
        <f>IFERROR(__xludf.DUMMYFUNCTION("""COMPUTED_VALUE"""),"SGMS")</f>
        <v>SGMS</v>
      </c>
    </row>
    <row r="3508">
      <c r="A3508" s="1" t="str">
        <f>IFERROR(__xludf.DUMMYFUNCTION("""COMPUTED_VALUE"""),"SGOC")</f>
        <v>SGOC</v>
      </c>
    </row>
    <row r="3509">
      <c r="A3509" s="1" t="str">
        <f>IFERROR(__xludf.DUMMYFUNCTION("""COMPUTED_VALUE"""),"SGRP")</f>
        <v>SGRP</v>
      </c>
    </row>
    <row r="3510">
      <c r="A3510" s="1" t="str">
        <f>IFERROR(__xludf.DUMMYFUNCTION("""COMPUTED_VALUE"""),"SGRY")</f>
        <v>SGRY</v>
      </c>
    </row>
    <row r="3511">
      <c r="A3511" s="1" t="str">
        <f>IFERROR(__xludf.DUMMYFUNCTION("""COMPUTED_VALUE"""),"SGTX")</f>
        <v>SGTX</v>
      </c>
    </row>
    <row r="3512">
      <c r="A3512" s="1" t="str">
        <f>IFERROR(__xludf.DUMMYFUNCTION("""COMPUTED_VALUE"""),"SHAC")</f>
        <v>SHAC</v>
      </c>
    </row>
    <row r="3513">
      <c r="A3513" s="1" t="str">
        <f>IFERROR(__xludf.DUMMYFUNCTION("""COMPUTED_VALUE"""),"SHACU")</f>
        <v>SHACU</v>
      </c>
    </row>
    <row r="3514">
      <c r="A3514" s="1" t="str">
        <f>IFERROR(__xludf.DUMMYFUNCTION("""COMPUTED_VALUE"""),"SHACW")</f>
        <v>SHACW</v>
      </c>
    </row>
    <row r="3515">
      <c r="A3515" s="1" t="str">
        <f>IFERROR(__xludf.DUMMYFUNCTION("""COMPUTED_VALUE"""),"SHBI")</f>
        <v>SHBI</v>
      </c>
    </row>
    <row r="3516">
      <c r="A3516" s="1" t="str">
        <f>IFERROR(__xludf.DUMMYFUNCTION("""COMPUTED_VALUE"""),"SHC")</f>
        <v>SHC</v>
      </c>
    </row>
    <row r="3517">
      <c r="A3517" s="1" t="str">
        <f>IFERROR(__xludf.DUMMYFUNCTION("""COMPUTED_VALUE"""),"SHCR")</f>
        <v>SHCR</v>
      </c>
    </row>
    <row r="3518">
      <c r="A3518" s="1" t="str">
        <f>IFERROR(__xludf.DUMMYFUNCTION("""COMPUTED_VALUE"""),"SHCRW")</f>
        <v>SHCRW</v>
      </c>
    </row>
    <row r="3519">
      <c r="A3519" s="1" t="str">
        <f>IFERROR(__xludf.DUMMYFUNCTION("""COMPUTED_VALUE"""),"SHEN")</f>
        <v>SHEN</v>
      </c>
    </row>
    <row r="3520">
      <c r="A3520" s="1" t="str">
        <f>IFERROR(__xludf.DUMMYFUNCTION("""COMPUTED_VALUE"""),"SHIP")</f>
        <v>SHIP</v>
      </c>
    </row>
    <row r="3521">
      <c r="A3521" s="1" t="str">
        <f>IFERROR(__xludf.DUMMYFUNCTION("""COMPUTED_VALUE"""),"SHIPW")</f>
        <v>SHIPW</v>
      </c>
    </row>
    <row r="3522">
      <c r="A3522" s="1" t="str">
        <f>IFERROR(__xludf.DUMMYFUNCTION("""COMPUTED_VALUE"""),"SHIPZ")</f>
        <v>SHIPZ</v>
      </c>
    </row>
    <row r="3523">
      <c r="A3523" s="1" t="str">
        <f>IFERROR(__xludf.DUMMYFUNCTION("""COMPUTED_VALUE"""),"SHLS")</f>
        <v>SHLS</v>
      </c>
    </row>
    <row r="3524">
      <c r="A3524" s="1" t="str">
        <f>IFERROR(__xludf.DUMMYFUNCTION("""COMPUTED_VALUE"""),"SHOO")</f>
        <v>SHOO</v>
      </c>
    </row>
    <row r="3525">
      <c r="A3525" s="1" t="str">
        <f>IFERROR(__xludf.DUMMYFUNCTION("""COMPUTED_VALUE"""),"SHQAU")</f>
        <v>SHQAU</v>
      </c>
    </row>
    <row r="3526">
      <c r="A3526" s="1" t="str">
        <f>IFERROR(__xludf.DUMMYFUNCTION("""COMPUTED_VALUE"""),"SHSP")</f>
        <v>SHSP</v>
      </c>
    </row>
    <row r="3527">
      <c r="A3527" s="1" t="str">
        <f>IFERROR(__xludf.DUMMYFUNCTION("""COMPUTED_VALUE"""),"SHYF")</f>
        <v>SHYF</v>
      </c>
    </row>
    <row r="3528">
      <c r="A3528" s="1" t="str">
        <f>IFERROR(__xludf.DUMMYFUNCTION("""COMPUTED_VALUE"""),"SIBN")</f>
        <v>SIBN</v>
      </c>
    </row>
    <row r="3529">
      <c r="A3529" s="1" t="str">
        <f>IFERROR(__xludf.DUMMYFUNCTION("""COMPUTED_VALUE"""),"SIC")</f>
        <v>SIC</v>
      </c>
    </row>
    <row r="3530">
      <c r="A3530" s="1" t="str">
        <f>IFERROR(__xludf.DUMMYFUNCTION("""COMPUTED_VALUE"""),"SIEB")</f>
        <v>SIEB</v>
      </c>
    </row>
    <row r="3531">
      <c r="A3531" s="1" t="str">
        <f>IFERROR(__xludf.DUMMYFUNCTION("""COMPUTED_VALUE"""),"SIEN")</f>
        <v>SIEN</v>
      </c>
    </row>
    <row r="3532">
      <c r="A3532" s="1" t="str">
        <f>IFERROR(__xludf.DUMMYFUNCTION("""COMPUTED_VALUE"""),"SIFY")</f>
        <v>SIFY</v>
      </c>
    </row>
    <row r="3533">
      <c r="A3533" s="1" t="str">
        <f>IFERROR(__xludf.DUMMYFUNCTION("""COMPUTED_VALUE"""),"SIGA")</f>
        <v>SIGA</v>
      </c>
    </row>
    <row r="3534">
      <c r="A3534" s="1" t="str">
        <f>IFERROR(__xludf.DUMMYFUNCTION("""COMPUTED_VALUE"""),"SIGI")</f>
        <v>SIGI</v>
      </c>
    </row>
    <row r="3535">
      <c r="A3535" s="1" t="str">
        <f>IFERROR(__xludf.DUMMYFUNCTION("""COMPUTED_VALUE"""),"SIGIP")</f>
        <v>SIGIP</v>
      </c>
    </row>
    <row r="3536">
      <c r="A3536" s="1" t="str">
        <f>IFERROR(__xludf.DUMMYFUNCTION("""COMPUTED_VALUE"""),"SILC")</f>
        <v>SILC</v>
      </c>
    </row>
    <row r="3537">
      <c r="A3537" s="1" t="str">
        <f>IFERROR(__xludf.DUMMYFUNCTION("""COMPUTED_VALUE"""),"SILK")</f>
        <v>SILK</v>
      </c>
    </row>
    <row r="3538">
      <c r="A3538" s="1" t="str">
        <f>IFERROR(__xludf.DUMMYFUNCTION("""COMPUTED_VALUE"""),"SIMO")</f>
        <v>SIMO</v>
      </c>
    </row>
    <row r="3539">
      <c r="A3539" s="1" t="str">
        <f>IFERROR(__xludf.DUMMYFUNCTION("""COMPUTED_VALUE"""),"SINO")</f>
        <v>SINO</v>
      </c>
    </row>
    <row r="3540">
      <c r="A3540" s="1" t="str">
        <f>IFERROR(__xludf.DUMMYFUNCTION("""COMPUTED_VALUE"""),"SINT")</f>
        <v>SINT</v>
      </c>
    </row>
    <row r="3541">
      <c r="A3541" s="1" t="str">
        <f>IFERROR(__xludf.DUMMYFUNCTION("""COMPUTED_VALUE"""),"SIOX")</f>
        <v>SIOX</v>
      </c>
    </row>
    <row r="3542">
      <c r="A3542" s="1" t="str">
        <f>IFERROR(__xludf.DUMMYFUNCTION("""COMPUTED_VALUE"""),"SIRI")</f>
        <v>SIRI</v>
      </c>
    </row>
    <row r="3543">
      <c r="A3543" s="1" t="str">
        <f>IFERROR(__xludf.DUMMYFUNCTION("""COMPUTED_VALUE"""),"SITM")</f>
        <v>SITM</v>
      </c>
    </row>
    <row r="3544">
      <c r="A3544" s="1" t="str">
        <f>IFERROR(__xludf.DUMMYFUNCTION("""COMPUTED_VALUE"""),"SIVB")</f>
        <v>SIVB</v>
      </c>
    </row>
    <row r="3545">
      <c r="A3545" s="1" t="str">
        <f>IFERROR(__xludf.DUMMYFUNCTION("""COMPUTED_VALUE"""),"SIVBP")</f>
        <v>SIVBP</v>
      </c>
    </row>
    <row r="3546">
      <c r="A3546" s="1" t="str">
        <f>IFERROR(__xludf.DUMMYFUNCTION("""COMPUTED_VALUE"""),"SJ")</f>
        <v>SJ</v>
      </c>
    </row>
    <row r="3547">
      <c r="A3547" s="1" t="str">
        <f>IFERROR(__xludf.DUMMYFUNCTION("""COMPUTED_VALUE"""),"SKIN")</f>
        <v>SKIN</v>
      </c>
    </row>
    <row r="3548">
      <c r="A3548" s="1" t="str">
        <f>IFERROR(__xludf.DUMMYFUNCTION("""COMPUTED_VALUE"""),"SKINW")</f>
        <v>SKINW</v>
      </c>
    </row>
    <row r="3549">
      <c r="A3549" s="1" t="str">
        <f>IFERROR(__xludf.DUMMYFUNCTION("""COMPUTED_VALUE"""),"SKYA")</f>
        <v>SKYA</v>
      </c>
    </row>
    <row r="3550">
      <c r="A3550" s="1" t="str">
        <f>IFERROR(__xludf.DUMMYFUNCTION("""COMPUTED_VALUE"""),"SKYAU")</f>
        <v>SKYAU</v>
      </c>
    </row>
    <row r="3551">
      <c r="A3551" s="1" t="str">
        <f>IFERROR(__xludf.DUMMYFUNCTION("""COMPUTED_VALUE"""),"SKYT")</f>
        <v>SKYT</v>
      </c>
    </row>
    <row r="3552">
      <c r="A3552" s="1" t="str">
        <f>IFERROR(__xludf.DUMMYFUNCTION("""COMPUTED_VALUE"""),"SKYW")</f>
        <v>SKYW</v>
      </c>
    </row>
    <row r="3553">
      <c r="A3553" s="1" t="str">
        <f>IFERROR(__xludf.DUMMYFUNCTION("""COMPUTED_VALUE"""),"SLAB")</f>
        <v>SLAB</v>
      </c>
    </row>
    <row r="3554">
      <c r="A3554" s="1" t="str">
        <f>IFERROR(__xludf.DUMMYFUNCTION("""COMPUTED_VALUE"""),"SLAM")</f>
        <v>SLAM</v>
      </c>
    </row>
    <row r="3555">
      <c r="A3555" s="1" t="str">
        <f>IFERROR(__xludf.DUMMYFUNCTION("""COMPUTED_VALUE"""),"SLAMU")</f>
        <v>SLAMU</v>
      </c>
    </row>
    <row r="3556">
      <c r="A3556" s="1" t="str">
        <f>IFERROR(__xludf.DUMMYFUNCTION("""COMPUTED_VALUE"""),"SLAMW")</f>
        <v>SLAMW</v>
      </c>
    </row>
    <row r="3557">
      <c r="A3557" s="1" t="str">
        <f>IFERROR(__xludf.DUMMYFUNCTION("""COMPUTED_VALUE"""),"SLCR")</f>
        <v>SLCR</v>
      </c>
    </row>
    <row r="3558">
      <c r="A3558" s="1" t="str">
        <f>IFERROR(__xludf.DUMMYFUNCTION("""COMPUTED_VALUE"""),"SLCRU")</f>
        <v>SLCRU</v>
      </c>
    </row>
    <row r="3559">
      <c r="A3559" s="1" t="str">
        <f>IFERROR(__xludf.DUMMYFUNCTION("""COMPUTED_VALUE"""),"SLCRW")</f>
        <v>SLCRW</v>
      </c>
    </row>
    <row r="3560">
      <c r="A3560" s="1" t="str">
        <f>IFERROR(__xludf.DUMMYFUNCTION("""COMPUTED_VALUE"""),"SLCT")</f>
        <v>SLCT</v>
      </c>
    </row>
    <row r="3561">
      <c r="A3561" s="1" t="str">
        <f>IFERROR(__xludf.DUMMYFUNCTION("""COMPUTED_VALUE"""),"SLDB")</f>
        <v>SLDB</v>
      </c>
    </row>
    <row r="3562">
      <c r="A3562" s="1" t="str">
        <f>IFERROR(__xludf.DUMMYFUNCTION("""COMPUTED_VALUE"""),"SLGG")</f>
        <v>SLGG</v>
      </c>
    </row>
    <row r="3563">
      <c r="A3563" s="1" t="str">
        <f>IFERROR(__xludf.DUMMYFUNCTION("""COMPUTED_VALUE"""),"SLGL")</f>
        <v>SLGL</v>
      </c>
    </row>
    <row r="3564">
      <c r="A3564" s="1" t="str">
        <f>IFERROR(__xludf.DUMMYFUNCTION("""COMPUTED_VALUE"""),"SLGN")</f>
        <v>SLGN</v>
      </c>
    </row>
    <row r="3565">
      <c r="A3565" s="1" t="str">
        <f>IFERROR(__xludf.DUMMYFUNCTION("""COMPUTED_VALUE"""),"SLHG")</f>
        <v>SLHG</v>
      </c>
    </row>
    <row r="3566">
      <c r="A3566" s="1" t="str">
        <f>IFERROR(__xludf.DUMMYFUNCTION("""COMPUTED_VALUE"""),"SLM")</f>
        <v>SLM</v>
      </c>
    </row>
    <row r="3567">
      <c r="A3567" s="1" t="str">
        <f>IFERROR(__xludf.DUMMYFUNCTION("""COMPUTED_VALUE"""),"SLMBP")</f>
        <v>SLMBP</v>
      </c>
    </row>
    <row r="3568">
      <c r="A3568" s="1" t="str">
        <f>IFERROR(__xludf.DUMMYFUNCTION("""COMPUTED_VALUE"""),"SLN")</f>
        <v>SLN</v>
      </c>
    </row>
    <row r="3569">
      <c r="A3569" s="1" t="str">
        <f>IFERROR(__xludf.DUMMYFUNCTION("""COMPUTED_VALUE"""),"SLNG")</f>
        <v>SLNG</v>
      </c>
    </row>
    <row r="3570">
      <c r="A3570" s="1" t="str">
        <f>IFERROR(__xludf.DUMMYFUNCTION("""COMPUTED_VALUE"""),"SLNO")</f>
        <v>SLNO</v>
      </c>
    </row>
    <row r="3571">
      <c r="A3571" s="1" t="str">
        <f>IFERROR(__xludf.DUMMYFUNCTION("""COMPUTED_VALUE"""),"SLP")</f>
        <v>SLP</v>
      </c>
    </row>
    <row r="3572">
      <c r="A3572" s="1" t="str">
        <f>IFERROR(__xludf.DUMMYFUNCTION("""COMPUTED_VALUE"""),"SLRC")</f>
        <v>SLRC</v>
      </c>
    </row>
    <row r="3573">
      <c r="A3573" s="1" t="str">
        <f>IFERROR(__xludf.DUMMYFUNCTION("""COMPUTED_VALUE"""),"SLRX")</f>
        <v>SLRX</v>
      </c>
    </row>
    <row r="3574">
      <c r="A3574" s="1" t="str">
        <f>IFERROR(__xludf.DUMMYFUNCTION("""COMPUTED_VALUE"""),"SLS")</f>
        <v>SLS</v>
      </c>
    </row>
    <row r="3575">
      <c r="A3575" s="1" t="str">
        <f>IFERROR(__xludf.DUMMYFUNCTION("""COMPUTED_VALUE"""),"SMBC")</f>
        <v>SMBC</v>
      </c>
    </row>
    <row r="3576">
      <c r="A3576" s="1" t="str">
        <f>IFERROR(__xludf.DUMMYFUNCTION("""COMPUTED_VALUE"""),"SMBK")</f>
        <v>SMBK</v>
      </c>
    </row>
    <row r="3577">
      <c r="A3577" s="1" t="str">
        <f>IFERROR(__xludf.DUMMYFUNCTION("""COMPUTED_VALUE"""),"SMCI")</f>
        <v>SMCI</v>
      </c>
    </row>
    <row r="3578">
      <c r="A3578" s="1" t="str">
        <f>IFERROR(__xludf.DUMMYFUNCTION("""COMPUTED_VALUE"""),"SMED")</f>
        <v>SMED</v>
      </c>
    </row>
    <row r="3579">
      <c r="A3579" s="1" t="str">
        <f>IFERROR(__xludf.DUMMYFUNCTION("""COMPUTED_VALUE"""),"SMFR")</f>
        <v>SMFR</v>
      </c>
    </row>
    <row r="3580">
      <c r="A3580" s="1" t="str">
        <f>IFERROR(__xludf.DUMMYFUNCTION("""COMPUTED_VALUE"""),"SMFRW")</f>
        <v>SMFRW</v>
      </c>
    </row>
    <row r="3581">
      <c r="A3581" s="1" t="str">
        <f>IFERROR(__xludf.DUMMYFUNCTION("""COMPUTED_VALUE"""),"SMID")</f>
        <v>SMID</v>
      </c>
    </row>
    <row r="3582">
      <c r="A3582" s="1" t="str">
        <f>IFERROR(__xludf.DUMMYFUNCTION("""COMPUTED_VALUE"""),"SMIH")</f>
        <v>SMIH</v>
      </c>
    </row>
    <row r="3583">
      <c r="A3583" s="1" t="str">
        <f>IFERROR(__xludf.DUMMYFUNCTION("""COMPUTED_VALUE"""),"SMIHU")</f>
        <v>SMIHU</v>
      </c>
    </row>
    <row r="3584">
      <c r="A3584" s="1" t="str">
        <f>IFERROR(__xludf.DUMMYFUNCTION("""COMPUTED_VALUE"""),"SMIT")</f>
        <v>SMIT</v>
      </c>
    </row>
    <row r="3585">
      <c r="A3585" s="1" t="str">
        <f>IFERROR(__xludf.DUMMYFUNCTION("""COMPUTED_VALUE"""),"SMMF")</f>
        <v>SMMF</v>
      </c>
    </row>
    <row r="3586">
      <c r="A3586" s="1" t="str">
        <f>IFERROR(__xludf.DUMMYFUNCTION("""COMPUTED_VALUE"""),"SMMT")</f>
        <v>SMMT</v>
      </c>
    </row>
    <row r="3587">
      <c r="A3587" s="1" t="str">
        <f>IFERROR(__xludf.DUMMYFUNCTION("""COMPUTED_VALUE"""),"SMPL")</f>
        <v>SMPL</v>
      </c>
    </row>
    <row r="3588">
      <c r="A3588" s="1" t="str">
        <f>IFERROR(__xludf.DUMMYFUNCTION("""COMPUTED_VALUE"""),"SMSI")</f>
        <v>SMSI</v>
      </c>
    </row>
    <row r="3589">
      <c r="A3589" s="1" t="str">
        <f>IFERROR(__xludf.DUMMYFUNCTION("""COMPUTED_VALUE"""),"SMTC")</f>
        <v>SMTC</v>
      </c>
    </row>
    <row r="3590">
      <c r="A3590" s="1" t="str">
        <f>IFERROR(__xludf.DUMMYFUNCTION("""COMPUTED_VALUE"""),"SMTI")</f>
        <v>SMTI</v>
      </c>
    </row>
    <row r="3591">
      <c r="A3591" s="1" t="str">
        <f>IFERROR(__xludf.DUMMYFUNCTION("""COMPUTED_VALUE"""),"SNAX")</f>
        <v>SNAX</v>
      </c>
    </row>
    <row r="3592">
      <c r="A3592" s="1" t="str">
        <f>IFERROR(__xludf.DUMMYFUNCTION("""COMPUTED_VALUE"""),"SNAXW")</f>
        <v>SNAXW</v>
      </c>
    </row>
    <row r="3593">
      <c r="A3593" s="1" t="str">
        <f>IFERROR(__xludf.DUMMYFUNCTION("""COMPUTED_VALUE"""),"SNBR")</f>
        <v>SNBR</v>
      </c>
    </row>
    <row r="3594">
      <c r="A3594" s="1" t="str">
        <f>IFERROR(__xludf.DUMMYFUNCTION("""COMPUTED_VALUE"""),"SNCR")</f>
        <v>SNCR</v>
      </c>
    </row>
    <row r="3595">
      <c r="A3595" s="1" t="str">
        <f>IFERROR(__xludf.DUMMYFUNCTION("""COMPUTED_VALUE"""),"SNCRL")</f>
        <v>SNCRL</v>
      </c>
    </row>
    <row r="3596">
      <c r="A3596" s="1" t="str">
        <f>IFERROR(__xludf.DUMMYFUNCTION("""COMPUTED_VALUE"""),"SNCY")</f>
        <v>SNCY</v>
      </c>
    </row>
    <row r="3597">
      <c r="A3597" s="1" t="str">
        <f>IFERROR(__xludf.DUMMYFUNCTION("""COMPUTED_VALUE"""),"SND")</f>
        <v>SND</v>
      </c>
    </row>
    <row r="3598">
      <c r="A3598" s="1" t="str">
        <f>IFERROR(__xludf.DUMMYFUNCTION("""COMPUTED_VALUE"""),"SNDL")</f>
        <v>SNDL</v>
      </c>
    </row>
    <row r="3599">
      <c r="A3599" s="1" t="str">
        <f>IFERROR(__xludf.DUMMYFUNCTION("""COMPUTED_VALUE"""),"SNDX")</f>
        <v>SNDX</v>
      </c>
    </row>
    <row r="3600">
      <c r="A3600" s="1" t="str">
        <f>IFERROR(__xludf.DUMMYFUNCTION("""COMPUTED_VALUE"""),"SNES")</f>
        <v>SNES</v>
      </c>
    </row>
    <row r="3601">
      <c r="A3601" s="1" t="str">
        <f>IFERROR(__xludf.DUMMYFUNCTION("""COMPUTED_VALUE"""),"SNEX")</f>
        <v>SNEX</v>
      </c>
    </row>
    <row r="3602">
      <c r="A3602" s="1" t="str">
        <f>IFERROR(__xludf.DUMMYFUNCTION("""COMPUTED_VALUE"""),"SNFCA")</f>
        <v>SNFCA</v>
      </c>
    </row>
    <row r="3603">
      <c r="A3603" s="1" t="str">
        <f>IFERROR(__xludf.DUMMYFUNCTION("""COMPUTED_VALUE"""),"SNGX")</f>
        <v>SNGX</v>
      </c>
    </row>
    <row r="3604">
      <c r="A3604" s="1" t="str">
        <f>IFERROR(__xludf.DUMMYFUNCTION("""COMPUTED_VALUE"""),"SNGXW")</f>
        <v>SNGXW</v>
      </c>
    </row>
    <row r="3605">
      <c r="A3605" s="1" t="str">
        <f>IFERROR(__xludf.DUMMYFUNCTION("""COMPUTED_VALUE"""),"SNOA")</f>
        <v>SNOA</v>
      </c>
    </row>
    <row r="3606">
      <c r="A3606" s="1" t="str">
        <f>IFERROR(__xludf.DUMMYFUNCTION("""COMPUTED_VALUE"""),"SNPO")</f>
        <v>SNPO</v>
      </c>
    </row>
    <row r="3607">
      <c r="A3607" s="1" t="str">
        <f>IFERROR(__xludf.DUMMYFUNCTION("""COMPUTED_VALUE"""),"SNPS")</f>
        <v>SNPS</v>
      </c>
    </row>
    <row r="3608">
      <c r="A3608" s="1" t="str">
        <f>IFERROR(__xludf.DUMMYFUNCTION("""COMPUTED_VALUE"""),"SNPX")</f>
        <v>SNPX</v>
      </c>
    </row>
    <row r="3609">
      <c r="A3609" s="1" t="str">
        <f>IFERROR(__xludf.DUMMYFUNCTION("""COMPUTED_VALUE"""),"SNRH")</f>
        <v>SNRH</v>
      </c>
    </row>
    <row r="3610">
      <c r="A3610" s="1" t="str">
        <f>IFERROR(__xludf.DUMMYFUNCTION("""COMPUTED_VALUE"""),"SNRHU")</f>
        <v>SNRHU</v>
      </c>
    </row>
    <row r="3611">
      <c r="A3611" s="1" t="str">
        <f>IFERROR(__xludf.DUMMYFUNCTION("""COMPUTED_VALUE"""),"SNRHW")</f>
        <v>SNRHW</v>
      </c>
    </row>
    <row r="3612">
      <c r="A3612" s="1" t="str">
        <f>IFERROR(__xludf.DUMMYFUNCTION("""COMPUTED_VALUE"""),"SNSE")</f>
        <v>SNSE</v>
      </c>
    </row>
    <row r="3613">
      <c r="A3613" s="1" t="str">
        <f>IFERROR(__xludf.DUMMYFUNCTION("""COMPUTED_VALUE"""),"SNTG")</f>
        <v>SNTG</v>
      </c>
    </row>
    <row r="3614">
      <c r="A3614" s="1" t="str">
        <f>IFERROR(__xludf.DUMMYFUNCTION("""COMPUTED_VALUE"""),"SNY")</f>
        <v>SNY</v>
      </c>
    </row>
    <row r="3615">
      <c r="A3615" s="1" t="str">
        <f>IFERROR(__xludf.DUMMYFUNCTION("""COMPUTED_VALUE"""),"SOFI")</f>
        <v>SOFI</v>
      </c>
    </row>
    <row r="3616">
      <c r="A3616" s="1" t="str">
        <f>IFERROR(__xludf.DUMMYFUNCTION("""COMPUTED_VALUE"""),"SOFIW")</f>
        <v>SOFIW</v>
      </c>
    </row>
    <row r="3617">
      <c r="A3617" s="1" t="str">
        <f>IFERROR(__xludf.DUMMYFUNCTION("""COMPUTED_VALUE"""),"SOHO")</f>
        <v>SOHO</v>
      </c>
    </row>
    <row r="3618">
      <c r="A3618" s="1" t="str">
        <f>IFERROR(__xludf.DUMMYFUNCTION("""COMPUTED_VALUE"""),"SOHOB")</f>
        <v>SOHOB</v>
      </c>
    </row>
    <row r="3619">
      <c r="A3619" s="1" t="str">
        <f>IFERROR(__xludf.DUMMYFUNCTION("""COMPUTED_VALUE"""),"SOHON")</f>
        <v>SOHON</v>
      </c>
    </row>
    <row r="3620">
      <c r="A3620" s="1" t="str">
        <f>IFERROR(__xludf.DUMMYFUNCTION("""COMPUTED_VALUE"""),"SOHOO")</f>
        <v>SOHOO</v>
      </c>
    </row>
    <row r="3621">
      <c r="A3621" s="1" t="str">
        <f>IFERROR(__xludf.DUMMYFUNCTION("""COMPUTED_VALUE"""),"SOHU")</f>
        <v>SOHU</v>
      </c>
    </row>
    <row r="3622">
      <c r="A3622" s="1" t="str">
        <f>IFERROR(__xludf.DUMMYFUNCTION("""COMPUTED_VALUE"""),"SOLO")</f>
        <v>SOLO</v>
      </c>
    </row>
    <row r="3623">
      <c r="A3623" s="1" t="str">
        <f>IFERROR(__xludf.DUMMYFUNCTION("""COMPUTED_VALUE"""),"SOLOW")</f>
        <v>SOLOW</v>
      </c>
    </row>
    <row r="3624">
      <c r="A3624" s="1" t="str">
        <f>IFERROR(__xludf.DUMMYFUNCTION("""COMPUTED_VALUE"""),"SOLY")</f>
        <v>SOLY</v>
      </c>
    </row>
    <row r="3625">
      <c r="A3625" s="1" t="str">
        <f>IFERROR(__xludf.DUMMYFUNCTION("""COMPUTED_VALUE"""),"SONM")</f>
        <v>SONM</v>
      </c>
    </row>
    <row r="3626">
      <c r="A3626" s="1" t="str">
        <f>IFERROR(__xludf.DUMMYFUNCTION("""COMPUTED_VALUE"""),"SONN")</f>
        <v>SONN</v>
      </c>
    </row>
    <row r="3627">
      <c r="A3627" s="1" t="str">
        <f>IFERROR(__xludf.DUMMYFUNCTION("""COMPUTED_VALUE"""),"SONO")</f>
        <v>SONO</v>
      </c>
    </row>
    <row r="3628">
      <c r="A3628" s="1" t="str">
        <f>IFERROR(__xludf.DUMMYFUNCTION("""COMPUTED_VALUE"""),"SOPH")</f>
        <v>SOPH</v>
      </c>
    </row>
    <row r="3629">
      <c r="A3629" s="1" t="str">
        <f>IFERROR(__xludf.DUMMYFUNCTION("""COMPUTED_VALUE"""),"SP")</f>
        <v>SP</v>
      </c>
    </row>
    <row r="3630">
      <c r="A3630" s="1" t="str">
        <f>IFERROR(__xludf.DUMMYFUNCTION("""COMPUTED_VALUE"""),"SPCB")</f>
        <v>SPCB</v>
      </c>
    </row>
    <row r="3631">
      <c r="A3631" s="1" t="str">
        <f>IFERROR(__xludf.DUMMYFUNCTION("""COMPUTED_VALUE"""),"SPFI")</f>
        <v>SPFI</v>
      </c>
    </row>
    <row r="3632">
      <c r="A3632" s="1" t="str">
        <f>IFERROR(__xludf.DUMMYFUNCTION("""COMPUTED_VALUE"""),"SPI")</f>
        <v>SPI</v>
      </c>
    </row>
    <row r="3633">
      <c r="A3633" s="1" t="str">
        <f>IFERROR(__xludf.DUMMYFUNCTION("""COMPUTED_VALUE"""),"SPK")</f>
        <v>SPK</v>
      </c>
    </row>
    <row r="3634">
      <c r="A3634" s="1" t="str">
        <f>IFERROR(__xludf.DUMMYFUNCTION("""COMPUTED_VALUE"""),"SPKAU")</f>
        <v>SPKAU</v>
      </c>
    </row>
    <row r="3635">
      <c r="A3635" s="1" t="str">
        <f>IFERROR(__xludf.DUMMYFUNCTION("""COMPUTED_VALUE"""),"SPKB")</f>
        <v>SPKB</v>
      </c>
    </row>
    <row r="3636">
      <c r="A3636" s="1" t="str">
        <f>IFERROR(__xludf.DUMMYFUNCTION("""COMPUTED_VALUE"""),"SPKBU")</f>
        <v>SPKBU</v>
      </c>
    </row>
    <row r="3637">
      <c r="A3637" s="1" t="str">
        <f>IFERROR(__xludf.DUMMYFUNCTION("""COMPUTED_VALUE"""),"SPKBW")</f>
        <v>SPKBW</v>
      </c>
    </row>
    <row r="3638">
      <c r="A3638" s="1" t="str">
        <f>IFERROR(__xludf.DUMMYFUNCTION("""COMPUTED_VALUE"""),"SPKE")</f>
        <v>SPKE</v>
      </c>
    </row>
    <row r="3639">
      <c r="A3639" s="1" t="str">
        <f>IFERROR(__xludf.DUMMYFUNCTION("""COMPUTED_VALUE"""),"SPKEP")</f>
        <v>SPKEP</v>
      </c>
    </row>
    <row r="3640">
      <c r="A3640" s="1" t="str">
        <f>IFERROR(__xludf.DUMMYFUNCTION("""COMPUTED_VALUE"""),"SPLK")</f>
        <v>SPLK</v>
      </c>
    </row>
    <row r="3641">
      <c r="A3641" s="1" t="str">
        <f>IFERROR(__xludf.DUMMYFUNCTION("""COMPUTED_VALUE"""),"SPNE")</f>
        <v>SPNE</v>
      </c>
    </row>
    <row r="3642">
      <c r="A3642" s="1" t="str">
        <f>IFERROR(__xludf.DUMMYFUNCTION("""COMPUTED_VALUE"""),"SPNS")</f>
        <v>SPNS</v>
      </c>
    </row>
    <row r="3643">
      <c r="A3643" s="1" t="str">
        <f>IFERROR(__xludf.DUMMYFUNCTION("""COMPUTED_VALUE"""),"SPOK")</f>
        <v>SPOK</v>
      </c>
    </row>
    <row r="3644">
      <c r="A3644" s="1" t="str">
        <f>IFERROR(__xludf.DUMMYFUNCTION("""COMPUTED_VALUE"""),"SPPI")</f>
        <v>SPPI</v>
      </c>
    </row>
    <row r="3645">
      <c r="A3645" s="1" t="str">
        <f>IFERROR(__xludf.DUMMYFUNCTION("""COMPUTED_VALUE"""),"SPRB")</f>
        <v>SPRB</v>
      </c>
    </row>
    <row r="3646">
      <c r="A3646" s="1" t="str">
        <f>IFERROR(__xludf.DUMMYFUNCTION("""COMPUTED_VALUE"""),"SPRO")</f>
        <v>SPRO</v>
      </c>
    </row>
    <row r="3647">
      <c r="A3647" s="1" t="str">
        <f>IFERROR(__xludf.DUMMYFUNCTION("""COMPUTED_VALUE"""),"SPRT")</f>
        <v>SPRT</v>
      </c>
    </row>
    <row r="3648">
      <c r="A3648" s="1" t="str">
        <f>IFERROR(__xludf.DUMMYFUNCTION("""COMPUTED_VALUE"""),"SPSC")</f>
        <v>SPSC</v>
      </c>
    </row>
    <row r="3649">
      <c r="A3649" s="1" t="str">
        <f>IFERROR(__xludf.DUMMYFUNCTION("""COMPUTED_VALUE"""),"SPT")</f>
        <v>SPT</v>
      </c>
    </row>
    <row r="3650">
      <c r="A3650" s="1" t="str">
        <f>IFERROR(__xludf.DUMMYFUNCTION("""COMPUTED_VALUE"""),"SPTK")</f>
        <v>SPTK</v>
      </c>
    </row>
    <row r="3651">
      <c r="A3651" s="1" t="str">
        <f>IFERROR(__xludf.DUMMYFUNCTION("""COMPUTED_VALUE"""),"SPTKU")</f>
        <v>SPTKU</v>
      </c>
    </row>
    <row r="3652">
      <c r="A3652" s="1" t="str">
        <f>IFERROR(__xludf.DUMMYFUNCTION("""COMPUTED_VALUE"""),"SPTKW")</f>
        <v>SPTKW</v>
      </c>
    </row>
    <row r="3653">
      <c r="A3653" s="1" t="str">
        <f>IFERROR(__xludf.DUMMYFUNCTION("""COMPUTED_VALUE"""),"SPTN")</f>
        <v>SPTN</v>
      </c>
    </row>
    <row r="3654">
      <c r="A3654" s="1" t="str">
        <f>IFERROR(__xludf.DUMMYFUNCTION("""COMPUTED_VALUE"""),"SPWH")</f>
        <v>SPWH</v>
      </c>
    </row>
    <row r="3655">
      <c r="A3655" s="1" t="str">
        <f>IFERROR(__xludf.DUMMYFUNCTION("""COMPUTED_VALUE"""),"SPWR")</f>
        <v>SPWR</v>
      </c>
    </row>
    <row r="3656">
      <c r="A3656" s="1" t="str">
        <f>IFERROR(__xludf.DUMMYFUNCTION("""COMPUTED_VALUE"""),"SQBG")</f>
        <v>SQBG</v>
      </c>
    </row>
    <row r="3657">
      <c r="A3657" s="1" t="str">
        <f>IFERROR(__xludf.DUMMYFUNCTION("""COMPUTED_VALUE"""),"SQFT")</f>
        <v>SQFT</v>
      </c>
    </row>
    <row r="3658">
      <c r="A3658" s="1" t="str">
        <f>IFERROR(__xludf.DUMMYFUNCTION("""COMPUTED_VALUE"""),"SQFTP")</f>
        <v>SQFTP</v>
      </c>
    </row>
    <row r="3659">
      <c r="A3659" s="1" t="str">
        <f>IFERROR(__xludf.DUMMYFUNCTION("""COMPUTED_VALUE"""),"SRAC")</f>
        <v>SRAC</v>
      </c>
    </row>
    <row r="3660">
      <c r="A3660" s="1" t="str">
        <f>IFERROR(__xludf.DUMMYFUNCTION("""COMPUTED_VALUE"""),"SRACU")</f>
        <v>SRACU</v>
      </c>
    </row>
    <row r="3661">
      <c r="A3661" s="1" t="str">
        <f>IFERROR(__xludf.DUMMYFUNCTION("""COMPUTED_VALUE"""),"SRACW")</f>
        <v>SRACW</v>
      </c>
    </row>
    <row r="3662">
      <c r="A3662" s="1" t="str">
        <f>IFERROR(__xludf.DUMMYFUNCTION("""COMPUTED_VALUE"""),"SRAX")</f>
        <v>SRAX</v>
      </c>
    </row>
    <row r="3663">
      <c r="A3663" s="1" t="str">
        <f>IFERROR(__xludf.DUMMYFUNCTION("""COMPUTED_VALUE"""),"SRCE")</f>
        <v>SRCE</v>
      </c>
    </row>
    <row r="3664">
      <c r="A3664" s="1" t="str">
        <f>IFERROR(__xludf.DUMMYFUNCTION("""COMPUTED_VALUE"""),"SRCL")</f>
        <v>SRCL</v>
      </c>
    </row>
    <row r="3665">
      <c r="A3665" s="1" t="str">
        <f>IFERROR(__xludf.DUMMYFUNCTION("""COMPUTED_VALUE"""),"SRDX")</f>
        <v>SRDX</v>
      </c>
    </row>
    <row r="3666">
      <c r="A3666" s="1" t="str">
        <f>IFERROR(__xludf.DUMMYFUNCTION("""COMPUTED_VALUE"""),"SREV")</f>
        <v>SREV</v>
      </c>
    </row>
    <row r="3667">
      <c r="A3667" s="1" t="str">
        <f>IFERROR(__xludf.DUMMYFUNCTION("""COMPUTED_VALUE"""),"SRGA")</f>
        <v>SRGA</v>
      </c>
    </row>
    <row r="3668">
      <c r="A3668" s="1" t="str">
        <f>IFERROR(__xludf.DUMMYFUNCTION("""COMPUTED_VALUE"""),"SRNE")</f>
        <v>SRNE</v>
      </c>
    </row>
    <row r="3669">
      <c r="A3669" s="1" t="str">
        <f>IFERROR(__xludf.DUMMYFUNCTION("""COMPUTED_VALUE"""),"SRNG")</f>
        <v>SRNG</v>
      </c>
    </row>
    <row r="3670">
      <c r="A3670" s="1" t="str">
        <f>IFERROR(__xludf.DUMMYFUNCTION("""COMPUTED_VALUE"""),"SRNGU")</f>
        <v>SRNGU</v>
      </c>
    </row>
    <row r="3671">
      <c r="A3671" s="1" t="str">
        <f>IFERROR(__xludf.DUMMYFUNCTION("""COMPUTED_VALUE"""),"SRNGW")</f>
        <v>SRNGW</v>
      </c>
    </row>
    <row r="3672">
      <c r="A3672" s="1" t="str">
        <f>IFERROR(__xludf.DUMMYFUNCTION("""COMPUTED_VALUE"""),"SRPT")</f>
        <v>SRPT</v>
      </c>
    </row>
    <row r="3673">
      <c r="A3673" s="1" t="str">
        <f>IFERROR(__xludf.DUMMYFUNCTION("""COMPUTED_VALUE"""),"SRRA")</f>
        <v>SRRA</v>
      </c>
    </row>
    <row r="3674">
      <c r="A3674" s="1" t="str">
        <f>IFERROR(__xludf.DUMMYFUNCTION("""COMPUTED_VALUE"""),"SRRK")</f>
        <v>SRRK</v>
      </c>
    </row>
    <row r="3675">
      <c r="A3675" s="1" t="str">
        <f>IFERROR(__xludf.DUMMYFUNCTION("""COMPUTED_VALUE"""),"SRSA")</f>
        <v>SRSA</v>
      </c>
    </row>
    <row r="3676">
      <c r="A3676" s="1" t="str">
        <f>IFERROR(__xludf.DUMMYFUNCTION("""COMPUTED_VALUE"""),"SRTS")</f>
        <v>SRTS</v>
      </c>
    </row>
    <row r="3677">
      <c r="A3677" s="1" t="str">
        <f>IFERROR(__xludf.DUMMYFUNCTION("""COMPUTED_VALUE"""),"SSAA")</f>
        <v>SSAA</v>
      </c>
    </row>
    <row r="3678">
      <c r="A3678" s="1" t="str">
        <f>IFERROR(__xludf.DUMMYFUNCTION("""COMPUTED_VALUE"""),"SSAAU")</f>
        <v>SSAAU</v>
      </c>
    </row>
    <row r="3679">
      <c r="A3679" s="1" t="str">
        <f>IFERROR(__xludf.DUMMYFUNCTION("""COMPUTED_VALUE"""),"SSAAW")</f>
        <v>SSAAW</v>
      </c>
    </row>
    <row r="3680">
      <c r="A3680" s="1" t="str">
        <f>IFERROR(__xludf.DUMMYFUNCTION("""COMPUTED_VALUE"""),"SSB")</f>
        <v>SSB</v>
      </c>
    </row>
    <row r="3681">
      <c r="A3681" s="1" t="str">
        <f>IFERROR(__xludf.DUMMYFUNCTION("""COMPUTED_VALUE"""),"SSBI")</f>
        <v>SSBI</v>
      </c>
    </row>
    <row r="3682">
      <c r="A3682" s="1" t="str">
        <f>IFERROR(__xludf.DUMMYFUNCTION("""COMPUTED_VALUE"""),"SSKN")</f>
        <v>SSKN</v>
      </c>
    </row>
    <row r="3683">
      <c r="A3683" s="1" t="str">
        <f>IFERROR(__xludf.DUMMYFUNCTION("""COMPUTED_VALUE"""),"SSNC")</f>
        <v>SSNC</v>
      </c>
    </row>
    <row r="3684">
      <c r="A3684" s="1" t="str">
        <f>IFERROR(__xludf.DUMMYFUNCTION("""COMPUTED_VALUE"""),"SSNT")</f>
        <v>SSNT</v>
      </c>
    </row>
    <row r="3685">
      <c r="A3685" s="1" t="str">
        <f>IFERROR(__xludf.DUMMYFUNCTION("""COMPUTED_VALUE"""),"SSP")</f>
        <v>SSP</v>
      </c>
    </row>
    <row r="3686">
      <c r="A3686" s="1" t="str">
        <f>IFERROR(__xludf.DUMMYFUNCTION("""COMPUTED_VALUE"""),"SSRM")</f>
        <v>SSRM</v>
      </c>
    </row>
    <row r="3687">
      <c r="A3687" s="1" t="str">
        <f>IFERROR(__xludf.DUMMYFUNCTION("""COMPUTED_VALUE"""),"SSSS")</f>
        <v>SSSS</v>
      </c>
    </row>
    <row r="3688">
      <c r="A3688" s="1" t="str">
        <f>IFERROR(__xludf.DUMMYFUNCTION("""COMPUTED_VALUE"""),"SSTI")</f>
        <v>SSTI</v>
      </c>
    </row>
    <row r="3689">
      <c r="A3689" s="1" t="str">
        <f>IFERROR(__xludf.DUMMYFUNCTION("""COMPUTED_VALUE"""),"SSYS")</f>
        <v>SSYS</v>
      </c>
    </row>
    <row r="3690">
      <c r="A3690" s="1" t="str">
        <f>IFERROR(__xludf.DUMMYFUNCTION("""COMPUTED_VALUE"""),"STAA")</f>
        <v>STAA</v>
      </c>
    </row>
    <row r="3691">
      <c r="A3691" s="1" t="str">
        <f>IFERROR(__xludf.DUMMYFUNCTION("""COMPUTED_VALUE"""),"STAF")</f>
        <v>STAF</v>
      </c>
    </row>
    <row r="3692">
      <c r="A3692" s="1" t="str">
        <f>IFERROR(__xludf.DUMMYFUNCTION("""COMPUTED_VALUE"""),"STBA")</f>
        <v>STBA</v>
      </c>
    </row>
    <row r="3693">
      <c r="A3693" s="1" t="str">
        <f>IFERROR(__xludf.DUMMYFUNCTION("""COMPUTED_VALUE"""),"STCN")</f>
        <v>STCN</v>
      </c>
    </row>
    <row r="3694">
      <c r="A3694" s="1" t="str">
        <f>IFERROR(__xludf.DUMMYFUNCTION("""COMPUTED_VALUE"""),"STEP")</f>
        <v>STEP</v>
      </c>
    </row>
    <row r="3695">
      <c r="A3695" s="1" t="str">
        <f>IFERROR(__xludf.DUMMYFUNCTION("""COMPUTED_VALUE"""),"STFC")</f>
        <v>STFC</v>
      </c>
    </row>
    <row r="3696">
      <c r="A3696" s="1" t="str">
        <f>IFERROR(__xludf.DUMMYFUNCTION("""COMPUTED_VALUE"""),"STGW")</f>
        <v>STGW</v>
      </c>
    </row>
    <row r="3697">
      <c r="A3697" s="1" t="str">
        <f>IFERROR(__xludf.DUMMYFUNCTION("""COMPUTED_VALUE"""),"STIM")</f>
        <v>STIM</v>
      </c>
    </row>
    <row r="3698">
      <c r="A3698" s="1" t="str">
        <f>IFERROR(__xludf.DUMMYFUNCTION("""COMPUTED_VALUE"""),"STKL")</f>
        <v>STKL</v>
      </c>
    </row>
    <row r="3699">
      <c r="A3699" s="1" t="str">
        <f>IFERROR(__xludf.DUMMYFUNCTION("""COMPUTED_VALUE"""),"STKS")</f>
        <v>STKS</v>
      </c>
    </row>
    <row r="3700">
      <c r="A3700" s="1" t="str">
        <f>IFERROR(__xludf.DUMMYFUNCTION("""COMPUTED_VALUE"""),"STLD")</f>
        <v>STLD</v>
      </c>
    </row>
    <row r="3701">
      <c r="A3701" s="1" t="str">
        <f>IFERROR(__xludf.DUMMYFUNCTION("""COMPUTED_VALUE"""),"STMP")</f>
        <v>STMP</v>
      </c>
    </row>
    <row r="3702">
      <c r="A3702" s="1" t="str">
        <f>IFERROR(__xludf.DUMMYFUNCTION("""COMPUTED_VALUE"""),"STNE")</f>
        <v>STNE</v>
      </c>
    </row>
    <row r="3703">
      <c r="A3703" s="1" t="str">
        <f>IFERROR(__xludf.DUMMYFUNCTION("""COMPUTED_VALUE"""),"STOK")</f>
        <v>STOK</v>
      </c>
    </row>
    <row r="3704">
      <c r="A3704" s="1" t="str">
        <f>IFERROR(__xludf.DUMMYFUNCTION("""COMPUTED_VALUE"""),"STRA")</f>
        <v>STRA</v>
      </c>
    </row>
    <row r="3705">
      <c r="A3705" s="1" t="str">
        <f>IFERROR(__xludf.DUMMYFUNCTION("""COMPUTED_VALUE"""),"STRL")</f>
        <v>STRL</v>
      </c>
    </row>
    <row r="3706">
      <c r="A3706" s="1" t="str">
        <f>IFERROR(__xludf.DUMMYFUNCTION("""COMPUTED_VALUE"""),"STRM")</f>
        <v>STRM</v>
      </c>
    </row>
    <row r="3707">
      <c r="A3707" s="1" t="str">
        <f>IFERROR(__xludf.DUMMYFUNCTION("""COMPUTED_VALUE"""),"STRO")</f>
        <v>STRO</v>
      </c>
    </row>
    <row r="3708">
      <c r="A3708" s="1" t="str">
        <f>IFERROR(__xludf.DUMMYFUNCTION("""COMPUTED_VALUE"""),"STRR")</f>
        <v>STRR</v>
      </c>
    </row>
    <row r="3709">
      <c r="A3709" s="1" t="str">
        <f>IFERROR(__xludf.DUMMYFUNCTION("""COMPUTED_VALUE"""),"STRRP")</f>
        <v>STRRP</v>
      </c>
    </row>
    <row r="3710">
      <c r="A3710" s="1" t="str">
        <f>IFERROR(__xludf.DUMMYFUNCTION("""COMPUTED_VALUE"""),"STRS")</f>
        <v>STRS</v>
      </c>
    </row>
    <row r="3711">
      <c r="A3711" s="1" t="str">
        <f>IFERROR(__xludf.DUMMYFUNCTION("""COMPUTED_VALUE"""),"STRT")</f>
        <v>STRT</v>
      </c>
    </row>
    <row r="3712">
      <c r="A3712" s="1" t="str">
        <f>IFERROR(__xludf.DUMMYFUNCTION("""COMPUTED_VALUE"""),"STSA")</f>
        <v>STSA</v>
      </c>
    </row>
    <row r="3713">
      <c r="A3713" s="1" t="str">
        <f>IFERROR(__xludf.DUMMYFUNCTION("""COMPUTED_VALUE"""),"STTK")</f>
        <v>STTK</v>
      </c>
    </row>
    <row r="3714">
      <c r="A3714" s="1" t="str">
        <f>IFERROR(__xludf.DUMMYFUNCTION("""COMPUTED_VALUE"""),"STWO")</f>
        <v>STWO</v>
      </c>
    </row>
    <row r="3715">
      <c r="A3715" s="1" t="str">
        <f>IFERROR(__xludf.DUMMYFUNCTION("""COMPUTED_VALUE"""),"STWOU")</f>
        <v>STWOU</v>
      </c>
    </row>
    <row r="3716">
      <c r="A3716" s="1" t="str">
        <f>IFERROR(__xludf.DUMMYFUNCTION("""COMPUTED_VALUE"""),"STWOW")</f>
        <v>STWOW</v>
      </c>
    </row>
    <row r="3717">
      <c r="A3717" s="1" t="str">
        <f>IFERROR(__xludf.DUMMYFUNCTION("""COMPUTED_VALUE"""),"STX")</f>
        <v>STX</v>
      </c>
    </row>
    <row r="3718">
      <c r="A3718" s="1" t="str">
        <f>IFERROR(__xludf.DUMMYFUNCTION("""COMPUTED_VALUE"""),"STXB")</f>
        <v>STXB</v>
      </c>
    </row>
    <row r="3719">
      <c r="A3719" s="1" t="str">
        <f>IFERROR(__xludf.DUMMYFUNCTION("""COMPUTED_VALUE"""),"SUMO")</f>
        <v>SUMO</v>
      </c>
    </row>
    <row r="3720">
      <c r="A3720" s="1" t="str">
        <f>IFERROR(__xludf.DUMMYFUNCTION("""COMPUTED_VALUE"""),"SUMR")</f>
        <v>SUMR</v>
      </c>
    </row>
    <row r="3721">
      <c r="A3721" s="1" t="str">
        <f>IFERROR(__xludf.DUMMYFUNCTION("""COMPUTED_VALUE"""),"SUNS")</f>
        <v>SUNS</v>
      </c>
    </row>
    <row r="3722">
      <c r="A3722" s="1" t="str">
        <f>IFERROR(__xludf.DUMMYFUNCTION("""COMPUTED_VALUE"""),"SUNW")</f>
        <v>SUNW</v>
      </c>
    </row>
    <row r="3723">
      <c r="A3723" s="1" t="str">
        <f>IFERROR(__xludf.DUMMYFUNCTION("""COMPUTED_VALUE"""),"SUPN")</f>
        <v>SUPN</v>
      </c>
    </row>
    <row r="3724">
      <c r="A3724" s="1" t="str">
        <f>IFERROR(__xludf.DUMMYFUNCTION("""COMPUTED_VALUE"""),"SURF")</f>
        <v>SURF</v>
      </c>
    </row>
    <row r="3725">
      <c r="A3725" s="1" t="str">
        <f>IFERROR(__xludf.DUMMYFUNCTION("""COMPUTED_VALUE"""),"SV")</f>
        <v>SV</v>
      </c>
    </row>
    <row r="3726">
      <c r="A3726" s="1" t="str">
        <f>IFERROR(__xludf.DUMMYFUNCTION("""COMPUTED_VALUE"""),"SVBI")</f>
        <v>SVBI</v>
      </c>
    </row>
    <row r="3727">
      <c r="A3727" s="1" t="str">
        <f>IFERROR(__xludf.DUMMYFUNCTION("""COMPUTED_VALUE"""),"SVC")</f>
        <v>SVC</v>
      </c>
    </row>
    <row r="3728">
      <c r="A3728" s="1" t="str">
        <f>IFERROR(__xludf.DUMMYFUNCTION("""COMPUTED_VALUE"""),"SVFA")</f>
        <v>SVFA</v>
      </c>
    </row>
    <row r="3729">
      <c r="A3729" s="1" t="str">
        <f>IFERROR(__xludf.DUMMYFUNCTION("""COMPUTED_VALUE"""),"SVFAU")</f>
        <v>SVFAU</v>
      </c>
    </row>
    <row r="3730">
      <c r="A3730" s="1" t="str">
        <f>IFERROR(__xludf.DUMMYFUNCTION("""COMPUTED_VALUE"""),"SVFAW")</f>
        <v>SVFAW</v>
      </c>
    </row>
    <row r="3731">
      <c r="A3731" s="1" t="str">
        <f>IFERROR(__xludf.DUMMYFUNCTION("""COMPUTED_VALUE"""),"SVFB")</f>
        <v>SVFB</v>
      </c>
    </row>
    <row r="3732">
      <c r="A3732" s="1" t="str">
        <f>IFERROR(__xludf.DUMMYFUNCTION("""COMPUTED_VALUE"""),"SVFC")</f>
        <v>SVFC</v>
      </c>
    </row>
    <row r="3733">
      <c r="A3733" s="1" t="str">
        <f>IFERROR(__xludf.DUMMYFUNCTION("""COMPUTED_VALUE"""),"SVFD")</f>
        <v>SVFD</v>
      </c>
    </row>
    <row r="3734">
      <c r="A3734" s="1" t="str">
        <f>IFERROR(__xludf.DUMMYFUNCTION("""COMPUTED_VALUE"""),"SVOK")</f>
        <v>SVOK</v>
      </c>
    </row>
    <row r="3735">
      <c r="A3735" s="1" t="str">
        <f>IFERROR(__xludf.DUMMYFUNCTION("""COMPUTED_VALUE"""),"SVOKW")</f>
        <v>SVOKW</v>
      </c>
    </row>
    <row r="3736">
      <c r="A3736" s="1" t="str">
        <f>IFERROR(__xludf.DUMMYFUNCTION("""COMPUTED_VALUE"""),"SVRA")</f>
        <v>SVRA</v>
      </c>
    </row>
    <row r="3737">
      <c r="A3737" s="1" t="str">
        <f>IFERROR(__xludf.DUMMYFUNCTION("""COMPUTED_VALUE"""),"SVSVU")</f>
        <v>SVSVU</v>
      </c>
    </row>
    <row r="3738">
      <c r="A3738" s="1" t="str">
        <f>IFERROR(__xludf.DUMMYFUNCTION("""COMPUTED_VALUE"""),"SVSVW")</f>
        <v>SVSVW</v>
      </c>
    </row>
    <row r="3739">
      <c r="A3739" s="1" t="str">
        <f>IFERROR(__xludf.DUMMYFUNCTION("""COMPUTED_VALUE"""),"SVVC")</f>
        <v>SVVC</v>
      </c>
    </row>
    <row r="3740">
      <c r="A3740" s="1" t="str">
        <f>IFERROR(__xludf.DUMMYFUNCTION("""COMPUTED_VALUE"""),"SWAGU")</f>
        <v>SWAGU</v>
      </c>
    </row>
    <row r="3741">
      <c r="A3741" s="1" t="str">
        <f>IFERROR(__xludf.DUMMYFUNCTION("""COMPUTED_VALUE"""),"SWAV")</f>
        <v>SWAV</v>
      </c>
    </row>
    <row r="3742">
      <c r="A3742" s="1" t="str">
        <f>IFERROR(__xludf.DUMMYFUNCTION("""COMPUTED_VALUE"""),"SWBI")</f>
        <v>SWBI</v>
      </c>
    </row>
    <row r="3743">
      <c r="A3743" s="1" t="str">
        <f>IFERROR(__xludf.DUMMYFUNCTION("""COMPUTED_VALUE"""),"SWET")</f>
        <v>SWET</v>
      </c>
    </row>
    <row r="3744">
      <c r="A3744" s="1" t="str">
        <f>IFERROR(__xludf.DUMMYFUNCTION("""COMPUTED_VALUE"""),"SWETU")</f>
        <v>SWETU</v>
      </c>
    </row>
    <row r="3745">
      <c r="A3745" s="1" t="str">
        <f>IFERROR(__xludf.DUMMYFUNCTION("""COMPUTED_VALUE"""),"SWETW")</f>
        <v>SWETW</v>
      </c>
    </row>
    <row r="3746">
      <c r="A3746" s="1" t="str">
        <f>IFERROR(__xludf.DUMMYFUNCTION("""COMPUTED_VALUE"""),"SWIM")</f>
        <v>SWIM</v>
      </c>
    </row>
    <row r="3747">
      <c r="A3747" s="1" t="str">
        <f>IFERROR(__xludf.DUMMYFUNCTION("""COMPUTED_VALUE"""),"SWIR")</f>
        <v>SWIR</v>
      </c>
    </row>
    <row r="3748">
      <c r="A3748" s="1" t="str">
        <f>IFERROR(__xludf.DUMMYFUNCTION("""COMPUTED_VALUE"""),"SWKH")</f>
        <v>SWKH</v>
      </c>
    </row>
    <row r="3749">
      <c r="A3749" s="1" t="str">
        <f>IFERROR(__xludf.DUMMYFUNCTION("""COMPUTED_VALUE"""),"SWKS")</f>
        <v>SWKS</v>
      </c>
    </row>
    <row r="3750">
      <c r="A3750" s="1" t="str">
        <f>IFERROR(__xludf.DUMMYFUNCTION("""COMPUTED_VALUE"""),"SWTX")</f>
        <v>SWTX</v>
      </c>
    </row>
    <row r="3751">
      <c r="A3751" s="1" t="str">
        <f>IFERROR(__xludf.DUMMYFUNCTION("""COMPUTED_VALUE"""),"SXTC")</f>
        <v>SXTC</v>
      </c>
    </row>
    <row r="3752">
      <c r="A3752" s="1" t="str">
        <f>IFERROR(__xludf.DUMMYFUNCTION("""COMPUTED_VALUE"""),"SY")</f>
        <v>SY</v>
      </c>
    </row>
    <row r="3753">
      <c r="A3753" s="1" t="str">
        <f>IFERROR(__xludf.DUMMYFUNCTION("""COMPUTED_VALUE"""),"SYBT")</f>
        <v>SYBT</v>
      </c>
    </row>
    <row r="3754">
      <c r="A3754" s="1" t="str">
        <f>IFERROR(__xludf.DUMMYFUNCTION("""COMPUTED_VALUE"""),"SYBX")</f>
        <v>SYBX</v>
      </c>
    </row>
    <row r="3755">
      <c r="A3755" s="1" t="str">
        <f>IFERROR(__xludf.DUMMYFUNCTION("""COMPUTED_VALUE"""),"SYKE")</f>
        <v>SYKE</v>
      </c>
    </row>
    <row r="3756">
      <c r="A3756" s="1" t="str">
        <f>IFERROR(__xludf.DUMMYFUNCTION("""COMPUTED_VALUE"""),"SYNA")</f>
        <v>SYNA</v>
      </c>
    </row>
    <row r="3757">
      <c r="A3757" s="1" t="str">
        <f>IFERROR(__xludf.DUMMYFUNCTION("""COMPUTED_VALUE"""),"SYNH")</f>
        <v>SYNH</v>
      </c>
    </row>
    <row r="3758">
      <c r="A3758" s="1" t="str">
        <f>IFERROR(__xludf.DUMMYFUNCTION("""COMPUTED_VALUE"""),"SYNL")</f>
        <v>SYNL</v>
      </c>
    </row>
    <row r="3759">
      <c r="A3759" s="1" t="str">
        <f>IFERROR(__xludf.DUMMYFUNCTION("""COMPUTED_VALUE"""),"SYPR")</f>
        <v>SYPR</v>
      </c>
    </row>
    <row r="3760">
      <c r="A3760" s="1" t="str">
        <f>IFERROR(__xludf.DUMMYFUNCTION("""COMPUTED_VALUE"""),"SYRS")</f>
        <v>SYRS</v>
      </c>
    </row>
    <row r="3761">
      <c r="A3761" s="1" t="str">
        <f>IFERROR(__xludf.DUMMYFUNCTION("""COMPUTED_VALUE"""),"SYTA")</f>
        <v>SYTA</v>
      </c>
    </row>
    <row r="3762">
      <c r="A3762" s="1" t="str">
        <f>IFERROR(__xludf.DUMMYFUNCTION("""COMPUTED_VALUE"""),"SYTAW")</f>
        <v>SYTAW</v>
      </c>
    </row>
    <row r="3763">
      <c r="A3763" s="1" t="str">
        <f>IFERROR(__xludf.DUMMYFUNCTION("""COMPUTED_VALUE"""),"TA")</f>
        <v>TA</v>
      </c>
    </row>
    <row r="3764">
      <c r="A3764" s="1" t="str">
        <f>IFERROR(__xludf.DUMMYFUNCTION("""COMPUTED_VALUE"""),"TACO")</f>
        <v>TACO</v>
      </c>
    </row>
    <row r="3765">
      <c r="A3765" s="1" t="str">
        <f>IFERROR(__xludf.DUMMYFUNCTION("""COMPUTED_VALUE"""),"TACT")</f>
        <v>TACT</v>
      </c>
    </row>
    <row r="3766">
      <c r="A3766" s="1" t="str">
        <f>IFERROR(__xludf.DUMMYFUNCTION("""COMPUTED_VALUE"""),"TAIT")</f>
        <v>TAIT</v>
      </c>
    </row>
    <row r="3767">
      <c r="A3767" s="1" t="str">
        <f>IFERROR(__xludf.DUMMYFUNCTION("""COMPUTED_VALUE"""),"TALK")</f>
        <v>TALK</v>
      </c>
    </row>
    <row r="3768">
      <c r="A3768" s="1" t="str">
        <f>IFERROR(__xludf.DUMMYFUNCTION("""COMPUTED_VALUE"""),"TALKW")</f>
        <v>TALKW</v>
      </c>
    </row>
    <row r="3769">
      <c r="A3769" s="1" t="str">
        <f>IFERROR(__xludf.DUMMYFUNCTION("""COMPUTED_VALUE"""),"TALS")</f>
        <v>TALS</v>
      </c>
    </row>
    <row r="3770">
      <c r="A3770" s="1" t="str">
        <f>IFERROR(__xludf.DUMMYFUNCTION("""COMPUTED_VALUE"""),"TANH")</f>
        <v>TANH</v>
      </c>
    </row>
    <row r="3771">
      <c r="A3771" s="1" t="str">
        <f>IFERROR(__xludf.DUMMYFUNCTION("""COMPUTED_VALUE"""),"TANNI")</f>
        <v>TANNI</v>
      </c>
    </row>
    <row r="3772">
      <c r="A3772" s="1" t="str">
        <f>IFERROR(__xludf.DUMMYFUNCTION("""COMPUTED_VALUE"""),"TANNL")</f>
        <v>TANNL</v>
      </c>
    </row>
    <row r="3773">
      <c r="A3773" s="1" t="str">
        <f>IFERROR(__xludf.DUMMYFUNCTION("""COMPUTED_VALUE"""),"TANNZ")</f>
        <v>TANNZ</v>
      </c>
    </row>
    <row r="3774">
      <c r="A3774" s="1" t="str">
        <f>IFERROR(__xludf.DUMMYFUNCTION("""COMPUTED_VALUE"""),"TAOP")</f>
        <v>TAOP</v>
      </c>
    </row>
    <row r="3775">
      <c r="A3775" s="1" t="str">
        <f>IFERROR(__xludf.DUMMYFUNCTION("""COMPUTED_VALUE"""),"TARA")</f>
        <v>TARA</v>
      </c>
    </row>
    <row r="3776">
      <c r="A3776" s="1" t="str">
        <f>IFERROR(__xludf.DUMMYFUNCTION("""COMPUTED_VALUE"""),"TARS")</f>
        <v>TARS</v>
      </c>
    </row>
    <row r="3777">
      <c r="A3777" s="1" t="str">
        <f>IFERROR(__xludf.DUMMYFUNCTION("""COMPUTED_VALUE"""),"TASK")</f>
        <v>TASK</v>
      </c>
    </row>
    <row r="3778">
      <c r="A3778" s="1" t="str">
        <f>IFERROR(__xludf.DUMMYFUNCTION("""COMPUTED_VALUE"""),"TAST")</f>
        <v>TAST</v>
      </c>
    </row>
    <row r="3779">
      <c r="A3779" s="1" t="str">
        <f>IFERROR(__xludf.DUMMYFUNCTION("""COMPUTED_VALUE"""),"TATT")</f>
        <v>TATT</v>
      </c>
    </row>
    <row r="3780">
      <c r="A3780" s="1" t="str">
        <f>IFERROR(__xludf.DUMMYFUNCTION("""COMPUTED_VALUE"""),"TAYD")</f>
        <v>TAYD</v>
      </c>
    </row>
    <row r="3781">
      <c r="A3781" s="1" t="str">
        <f>IFERROR(__xludf.DUMMYFUNCTION("""COMPUTED_VALUE"""),"TBBK")</f>
        <v>TBBK</v>
      </c>
    </row>
    <row r="3782">
      <c r="A3782" s="1" t="str">
        <f>IFERROR(__xludf.DUMMYFUNCTION("""COMPUTED_VALUE"""),"TBCP")</f>
        <v>TBCP</v>
      </c>
    </row>
    <row r="3783">
      <c r="A3783" s="1" t="str">
        <f>IFERROR(__xludf.DUMMYFUNCTION("""COMPUTED_VALUE"""),"TBCPU")</f>
        <v>TBCPU</v>
      </c>
    </row>
    <row r="3784">
      <c r="A3784" s="1" t="str">
        <f>IFERROR(__xludf.DUMMYFUNCTION("""COMPUTED_VALUE"""),"TBCPW")</f>
        <v>TBCPW</v>
      </c>
    </row>
    <row r="3785">
      <c r="A3785" s="1" t="str">
        <f>IFERROR(__xludf.DUMMYFUNCTION("""COMPUTED_VALUE"""),"TBIO")</f>
        <v>TBIO</v>
      </c>
    </row>
    <row r="3786">
      <c r="A3786" s="1" t="str">
        <f>IFERROR(__xludf.DUMMYFUNCTION("""COMPUTED_VALUE"""),"TBK")</f>
        <v>TBK</v>
      </c>
    </row>
    <row r="3787">
      <c r="A3787" s="1" t="str">
        <f>IFERROR(__xludf.DUMMYFUNCTION("""COMPUTED_VALUE"""),"TBKCP")</f>
        <v>TBKCP</v>
      </c>
    </row>
    <row r="3788">
      <c r="A3788" s="1" t="str">
        <f>IFERROR(__xludf.DUMMYFUNCTION("""COMPUTED_VALUE"""),"TBLA")</f>
        <v>TBLA</v>
      </c>
    </row>
    <row r="3789">
      <c r="A3789" s="1" t="str">
        <f>IFERROR(__xludf.DUMMYFUNCTION("""COMPUTED_VALUE"""),"TBLAW")</f>
        <v>TBLAW</v>
      </c>
    </row>
    <row r="3790">
      <c r="A3790" s="1" t="str">
        <f>IFERROR(__xludf.DUMMYFUNCTION("""COMPUTED_VALUE"""),"TBLD")</f>
        <v>TBLD</v>
      </c>
    </row>
    <row r="3791">
      <c r="A3791" s="1" t="str">
        <f>IFERROR(__xludf.DUMMYFUNCTION("""COMPUTED_VALUE"""),"TBLT")</f>
        <v>TBLT</v>
      </c>
    </row>
    <row r="3792">
      <c r="A3792" s="1" t="str">
        <f>IFERROR(__xludf.DUMMYFUNCTION("""COMPUTED_VALUE"""),"TBLTW")</f>
        <v>TBLTW</v>
      </c>
    </row>
    <row r="3793">
      <c r="A3793" s="1" t="str">
        <f>IFERROR(__xludf.DUMMYFUNCTION("""COMPUTED_VALUE"""),"TBNK")</f>
        <v>TBNK</v>
      </c>
    </row>
    <row r="3794">
      <c r="A3794" s="1" t="str">
        <f>IFERROR(__xludf.DUMMYFUNCTION("""COMPUTED_VALUE"""),"TBPH")</f>
        <v>TBPH</v>
      </c>
    </row>
    <row r="3795">
      <c r="A3795" s="1" t="str">
        <f>IFERROR(__xludf.DUMMYFUNCTION("""COMPUTED_VALUE"""),"TBSA")</f>
        <v>TBSA</v>
      </c>
    </row>
    <row r="3796">
      <c r="A3796" s="1" t="str">
        <f>IFERROR(__xludf.DUMMYFUNCTION("""COMPUTED_VALUE"""),"TBSAW")</f>
        <v>TBSAW</v>
      </c>
    </row>
    <row r="3797">
      <c r="A3797" s="1" t="str">
        <f>IFERROR(__xludf.DUMMYFUNCTION("""COMPUTED_VALUE"""),"TC")</f>
        <v>TC</v>
      </c>
    </row>
    <row r="3798">
      <c r="A3798" s="1" t="str">
        <f>IFERROR(__xludf.DUMMYFUNCTION("""COMPUTED_VALUE"""),"TCAC")</f>
        <v>TCAC</v>
      </c>
    </row>
    <row r="3799">
      <c r="A3799" s="1" t="str">
        <f>IFERROR(__xludf.DUMMYFUNCTION("""COMPUTED_VALUE"""),"TCACU")</f>
        <v>TCACU</v>
      </c>
    </row>
    <row r="3800">
      <c r="A3800" s="1" t="str">
        <f>IFERROR(__xludf.DUMMYFUNCTION("""COMPUTED_VALUE"""),"TCBC")</f>
        <v>TCBC</v>
      </c>
    </row>
    <row r="3801">
      <c r="A3801" s="1" t="str">
        <f>IFERROR(__xludf.DUMMYFUNCTION("""COMPUTED_VALUE"""),"TCBI")</f>
        <v>TCBI</v>
      </c>
    </row>
    <row r="3802">
      <c r="A3802" s="1" t="str">
        <f>IFERROR(__xludf.DUMMYFUNCTION("""COMPUTED_VALUE"""),"TCBIO")</f>
        <v>TCBIO</v>
      </c>
    </row>
    <row r="3803">
      <c r="A3803" s="1" t="str">
        <f>IFERROR(__xludf.DUMMYFUNCTION("""COMPUTED_VALUE"""),"TCBK")</f>
        <v>TCBK</v>
      </c>
    </row>
    <row r="3804">
      <c r="A3804" s="1" t="str">
        <f>IFERROR(__xludf.DUMMYFUNCTION("""COMPUTED_VALUE"""),"TCBS")</f>
        <v>TCBS</v>
      </c>
    </row>
    <row r="3805">
      <c r="A3805" s="1" t="str">
        <f>IFERROR(__xludf.DUMMYFUNCTION("""COMPUTED_VALUE"""),"TCDA")</f>
        <v>TCDA</v>
      </c>
    </row>
    <row r="3806">
      <c r="A3806" s="1" t="str">
        <f>IFERROR(__xludf.DUMMYFUNCTION("""COMPUTED_VALUE"""),"TCFC")</f>
        <v>TCFC</v>
      </c>
    </row>
    <row r="3807">
      <c r="A3807" s="1" t="str">
        <f>IFERROR(__xludf.DUMMYFUNCTION("""COMPUTED_VALUE"""),"TCMD")</f>
        <v>TCMD</v>
      </c>
    </row>
    <row r="3808">
      <c r="A3808" s="1" t="str">
        <f>IFERROR(__xludf.DUMMYFUNCTION("""COMPUTED_VALUE"""),"TCOM")</f>
        <v>TCOM</v>
      </c>
    </row>
    <row r="3809">
      <c r="A3809" s="1" t="str">
        <f>IFERROR(__xludf.DUMMYFUNCTION("""COMPUTED_VALUE"""),"TCON")</f>
        <v>TCON</v>
      </c>
    </row>
    <row r="3810">
      <c r="A3810" s="1" t="str">
        <f>IFERROR(__xludf.DUMMYFUNCTION("""COMPUTED_VALUE"""),"TCPC")</f>
        <v>TCPC</v>
      </c>
    </row>
    <row r="3811">
      <c r="A3811" s="1" t="str">
        <f>IFERROR(__xludf.DUMMYFUNCTION("""COMPUTED_VALUE"""),"TCRR")</f>
        <v>TCRR</v>
      </c>
    </row>
    <row r="3812">
      <c r="A3812" s="1" t="str">
        <f>IFERROR(__xludf.DUMMYFUNCTION("""COMPUTED_VALUE"""),"TCRX")</f>
        <v>TCRX</v>
      </c>
    </row>
    <row r="3813">
      <c r="A3813" s="1" t="str">
        <f>IFERROR(__xludf.DUMMYFUNCTION("""COMPUTED_VALUE"""),"TCVA")</f>
        <v>TCVA</v>
      </c>
    </row>
    <row r="3814">
      <c r="A3814" s="1" t="str">
        <f>IFERROR(__xludf.DUMMYFUNCTION("""COMPUTED_VALUE"""),"TCX")</f>
        <v>TCX</v>
      </c>
    </row>
    <row r="3815">
      <c r="A3815" s="1" t="str">
        <f>IFERROR(__xludf.DUMMYFUNCTION("""COMPUTED_VALUE"""),"TDAC")</f>
        <v>TDAC</v>
      </c>
    </row>
    <row r="3816">
      <c r="A3816" s="1" t="str">
        <f>IFERROR(__xludf.DUMMYFUNCTION("""COMPUTED_VALUE"""),"TDACU")</f>
        <v>TDACU</v>
      </c>
    </row>
    <row r="3817">
      <c r="A3817" s="1" t="str">
        <f>IFERROR(__xludf.DUMMYFUNCTION("""COMPUTED_VALUE"""),"TDACW")</f>
        <v>TDACW</v>
      </c>
    </row>
    <row r="3818">
      <c r="A3818" s="1" t="str">
        <f>IFERROR(__xludf.DUMMYFUNCTION("""COMPUTED_VALUE"""),"TDUP")</f>
        <v>TDUP</v>
      </c>
    </row>
    <row r="3819">
      <c r="A3819" s="1" t="str">
        <f>IFERROR(__xludf.DUMMYFUNCTION("""COMPUTED_VALUE"""),"TEAM")</f>
        <v>TEAM</v>
      </c>
    </row>
    <row r="3820">
      <c r="A3820" s="1" t="str">
        <f>IFERROR(__xludf.DUMMYFUNCTION("""COMPUTED_VALUE"""),"TECH")</f>
        <v>TECH</v>
      </c>
    </row>
    <row r="3821">
      <c r="A3821" s="1" t="str">
        <f>IFERROR(__xludf.DUMMYFUNCTION("""COMPUTED_VALUE"""),"TECTP")</f>
        <v>TECTP</v>
      </c>
    </row>
    <row r="3822">
      <c r="A3822" s="1" t="str">
        <f>IFERROR(__xludf.DUMMYFUNCTION("""COMPUTED_VALUE"""),"TEDU")</f>
        <v>TEDU</v>
      </c>
    </row>
    <row r="3823">
      <c r="A3823" s="1" t="str">
        <f>IFERROR(__xludf.DUMMYFUNCTION("""COMPUTED_VALUE"""),"TEKK")</f>
        <v>TEKK</v>
      </c>
    </row>
    <row r="3824">
      <c r="A3824" s="1" t="str">
        <f>IFERROR(__xludf.DUMMYFUNCTION("""COMPUTED_VALUE"""),"TEKKU")</f>
        <v>TEKKU</v>
      </c>
    </row>
    <row r="3825">
      <c r="A3825" s="1" t="str">
        <f>IFERROR(__xludf.DUMMYFUNCTION("""COMPUTED_VALUE"""),"TEKKW")</f>
        <v>TEKKW</v>
      </c>
    </row>
    <row r="3826">
      <c r="A3826" s="1" t="str">
        <f>IFERROR(__xludf.DUMMYFUNCTION("""COMPUTED_VALUE"""),"TELA")</f>
        <v>TELA</v>
      </c>
    </row>
    <row r="3827">
      <c r="A3827" s="1" t="str">
        <f>IFERROR(__xludf.DUMMYFUNCTION("""COMPUTED_VALUE"""),"TELL")</f>
        <v>TELL</v>
      </c>
    </row>
    <row r="3828">
      <c r="A3828" s="1" t="str">
        <f>IFERROR(__xludf.DUMMYFUNCTION("""COMPUTED_VALUE"""),"TENB")</f>
        <v>TENB</v>
      </c>
    </row>
    <row r="3829">
      <c r="A3829" s="1" t="str">
        <f>IFERROR(__xludf.DUMMYFUNCTION("""COMPUTED_VALUE"""),"TENX")</f>
        <v>TENX</v>
      </c>
    </row>
    <row r="3830">
      <c r="A3830" s="1" t="str">
        <f>IFERROR(__xludf.DUMMYFUNCTION("""COMPUTED_VALUE"""),"TER")</f>
        <v>TER</v>
      </c>
    </row>
    <row r="3831">
      <c r="A3831" s="1" t="str">
        <f>IFERROR(__xludf.DUMMYFUNCTION("""COMPUTED_VALUE"""),"TERN")</f>
        <v>TERN</v>
      </c>
    </row>
    <row r="3832">
      <c r="A3832" s="1" t="str">
        <f>IFERROR(__xludf.DUMMYFUNCTION("""COMPUTED_VALUE"""),"TESS")</f>
        <v>TESS</v>
      </c>
    </row>
    <row r="3833">
      <c r="A3833" s="1" t="str">
        <f>IFERROR(__xludf.DUMMYFUNCTION("""COMPUTED_VALUE"""),"TETC")</f>
        <v>TETC</v>
      </c>
    </row>
    <row r="3834">
      <c r="A3834" s="1" t="str">
        <f>IFERROR(__xludf.DUMMYFUNCTION("""COMPUTED_VALUE"""),"TETCU")</f>
        <v>TETCU</v>
      </c>
    </row>
    <row r="3835">
      <c r="A3835" s="1" t="str">
        <f>IFERROR(__xludf.DUMMYFUNCTION("""COMPUTED_VALUE"""),"TETCW")</f>
        <v>TETCW</v>
      </c>
    </row>
    <row r="3836">
      <c r="A3836" s="1" t="str">
        <f>IFERROR(__xludf.DUMMYFUNCTION("""COMPUTED_VALUE"""),"TFFP")</f>
        <v>TFFP</v>
      </c>
    </row>
    <row r="3837">
      <c r="A3837" s="1" t="str">
        <f>IFERROR(__xludf.DUMMYFUNCTION("""COMPUTED_VALUE"""),"TFSL")</f>
        <v>TFSL</v>
      </c>
    </row>
    <row r="3838">
      <c r="A3838" s="1" t="str">
        <f>IFERROR(__xludf.DUMMYFUNCTION("""COMPUTED_VALUE"""),"TGA")</f>
        <v>TGA</v>
      </c>
    </row>
    <row r="3839">
      <c r="A3839" s="1" t="str">
        <f>IFERROR(__xludf.DUMMYFUNCTION("""COMPUTED_VALUE"""),"TGLS")</f>
        <v>TGLS</v>
      </c>
    </row>
    <row r="3840">
      <c r="A3840" s="1" t="str">
        <f>IFERROR(__xludf.DUMMYFUNCTION("""COMPUTED_VALUE"""),"TGTX")</f>
        <v>TGTX</v>
      </c>
    </row>
    <row r="3841">
      <c r="A3841" s="1" t="str">
        <f>IFERROR(__xludf.DUMMYFUNCTION("""COMPUTED_VALUE"""),"TH")</f>
        <v>TH</v>
      </c>
    </row>
    <row r="3842">
      <c r="A3842" s="1" t="str">
        <f>IFERROR(__xludf.DUMMYFUNCTION("""COMPUTED_VALUE"""),"THCA")</f>
        <v>THCA</v>
      </c>
    </row>
    <row r="3843">
      <c r="A3843" s="1" t="str">
        <f>IFERROR(__xludf.DUMMYFUNCTION("""COMPUTED_VALUE"""),"THCAU")</f>
        <v>THCAU</v>
      </c>
    </row>
    <row r="3844">
      <c r="A3844" s="1" t="str">
        <f>IFERROR(__xludf.DUMMYFUNCTION("""COMPUTED_VALUE"""),"THCAW")</f>
        <v>THCAW</v>
      </c>
    </row>
    <row r="3845">
      <c r="A3845" s="1" t="str">
        <f>IFERROR(__xludf.DUMMYFUNCTION("""COMPUTED_VALUE"""),"THCPU")</f>
        <v>THCPU</v>
      </c>
    </row>
    <row r="3846">
      <c r="A3846" s="1" t="str">
        <f>IFERROR(__xludf.DUMMYFUNCTION("""COMPUTED_VALUE"""),"THFF")</f>
        <v>THFF</v>
      </c>
    </row>
    <row r="3847">
      <c r="A3847" s="1" t="str">
        <f>IFERROR(__xludf.DUMMYFUNCTION("""COMPUTED_VALUE"""),"THMA")</f>
        <v>THMA</v>
      </c>
    </row>
    <row r="3848">
      <c r="A3848" s="1" t="str">
        <f>IFERROR(__xludf.DUMMYFUNCTION("""COMPUTED_VALUE"""),"THMAU")</f>
        <v>THMAU</v>
      </c>
    </row>
    <row r="3849">
      <c r="A3849" s="1" t="str">
        <f>IFERROR(__xludf.DUMMYFUNCTION("""COMPUTED_VALUE"""),"THMAW")</f>
        <v>THMAW</v>
      </c>
    </row>
    <row r="3850">
      <c r="A3850" s="1" t="str">
        <f>IFERROR(__xludf.DUMMYFUNCTION("""COMPUTED_VALUE"""),"THMO")</f>
        <v>THMO</v>
      </c>
    </row>
    <row r="3851">
      <c r="A3851" s="1" t="str">
        <f>IFERROR(__xludf.DUMMYFUNCTION("""COMPUTED_VALUE"""),"THRM")</f>
        <v>THRM</v>
      </c>
    </row>
    <row r="3852">
      <c r="A3852" s="1" t="str">
        <f>IFERROR(__xludf.DUMMYFUNCTION("""COMPUTED_VALUE"""),"THRY")</f>
        <v>THRY</v>
      </c>
    </row>
    <row r="3853">
      <c r="A3853" s="1" t="str">
        <f>IFERROR(__xludf.DUMMYFUNCTION("""COMPUTED_VALUE"""),"THTX")</f>
        <v>THTX</v>
      </c>
    </row>
    <row r="3854">
      <c r="A3854" s="1" t="str">
        <f>IFERROR(__xludf.DUMMYFUNCTION("""COMPUTED_VALUE"""),"THWWW")</f>
        <v>THWWW</v>
      </c>
    </row>
    <row r="3855">
      <c r="A3855" s="1" t="str">
        <f>IFERROR(__xludf.DUMMYFUNCTION("""COMPUTED_VALUE"""),"TIG")</f>
        <v>TIG</v>
      </c>
    </row>
    <row r="3856">
      <c r="A3856" s="1" t="str">
        <f>IFERROR(__xludf.DUMMYFUNCTION("""COMPUTED_VALUE"""),"TIGO")</f>
        <v>TIGO</v>
      </c>
    </row>
    <row r="3857">
      <c r="A3857" s="1" t="str">
        <f>IFERROR(__xludf.DUMMYFUNCTION("""COMPUTED_VALUE"""),"TIGR")</f>
        <v>TIGR</v>
      </c>
    </row>
    <row r="3858">
      <c r="A3858" s="1" t="str">
        <f>IFERROR(__xludf.DUMMYFUNCTION("""COMPUTED_VALUE"""),"TIL")</f>
        <v>TIL</v>
      </c>
    </row>
    <row r="3859">
      <c r="A3859" s="1" t="str">
        <f>IFERROR(__xludf.DUMMYFUNCTION("""COMPUTED_VALUE"""),"TILE")</f>
        <v>TILE</v>
      </c>
    </row>
    <row r="3860">
      <c r="A3860" s="1" t="str">
        <f>IFERROR(__xludf.DUMMYFUNCTION("""COMPUTED_VALUE"""),"TIOA")</f>
        <v>TIOA</v>
      </c>
    </row>
    <row r="3861">
      <c r="A3861" s="1" t="str">
        <f>IFERROR(__xludf.DUMMYFUNCTION("""COMPUTED_VALUE"""),"TIOAU")</f>
        <v>TIOAU</v>
      </c>
    </row>
    <row r="3862">
      <c r="A3862" s="1" t="str">
        <f>IFERROR(__xludf.DUMMYFUNCTION("""COMPUTED_VALUE"""),"TIPT")</f>
        <v>TIPT</v>
      </c>
    </row>
    <row r="3863">
      <c r="A3863" s="1" t="str">
        <f>IFERROR(__xludf.DUMMYFUNCTION("""COMPUTED_VALUE"""),"TIRX")</f>
        <v>TIRX</v>
      </c>
    </row>
    <row r="3864">
      <c r="A3864" s="1" t="str">
        <f>IFERROR(__xludf.DUMMYFUNCTION("""COMPUTED_VALUE"""),"TITN")</f>
        <v>TITN</v>
      </c>
    </row>
    <row r="3865">
      <c r="A3865" s="1" t="str">
        <f>IFERROR(__xludf.DUMMYFUNCTION("""COMPUTED_VALUE"""),"TKNO")</f>
        <v>TKNO</v>
      </c>
    </row>
    <row r="3866">
      <c r="A3866" s="1" t="str">
        <f>IFERROR(__xludf.DUMMYFUNCTION("""COMPUTED_VALUE"""),"TLC")</f>
        <v>TLC</v>
      </c>
    </row>
    <row r="3867">
      <c r="A3867" s="1" t="str">
        <f>IFERROR(__xludf.DUMMYFUNCTION("""COMPUTED_VALUE"""),"TLGT")</f>
        <v>TLGT</v>
      </c>
    </row>
    <row r="3868">
      <c r="A3868" s="1" t="str">
        <f>IFERROR(__xludf.DUMMYFUNCTION("""COMPUTED_VALUE"""),"TLIS")</f>
        <v>TLIS</v>
      </c>
    </row>
    <row r="3869">
      <c r="A3869" s="1" t="str">
        <f>IFERROR(__xludf.DUMMYFUNCTION("""COMPUTED_VALUE"""),"TLMD")</f>
        <v>TLMD</v>
      </c>
    </row>
    <row r="3870">
      <c r="A3870" s="1" t="str">
        <f>IFERROR(__xludf.DUMMYFUNCTION("""COMPUTED_VALUE"""),"TLMDW")</f>
        <v>TLMDW</v>
      </c>
    </row>
    <row r="3871">
      <c r="A3871" s="1" t="str">
        <f>IFERROR(__xludf.DUMMYFUNCTION("""COMPUTED_VALUE"""),"TLRY")</f>
        <v>TLRY</v>
      </c>
    </row>
    <row r="3872">
      <c r="A3872" s="1" t="str">
        <f>IFERROR(__xludf.DUMMYFUNCTION("""COMPUTED_VALUE"""),"TLS")</f>
        <v>TLS</v>
      </c>
    </row>
    <row r="3873">
      <c r="A3873" s="1" t="str">
        <f>IFERROR(__xludf.DUMMYFUNCTION("""COMPUTED_VALUE"""),"TLSA")</f>
        <v>TLSA</v>
      </c>
    </row>
    <row r="3874">
      <c r="A3874" s="1" t="str">
        <f>IFERROR(__xludf.DUMMYFUNCTION("""COMPUTED_VALUE"""),"TMCI")</f>
        <v>TMCI</v>
      </c>
    </row>
    <row r="3875">
      <c r="A3875" s="1" t="str">
        <f>IFERROR(__xludf.DUMMYFUNCTION("""COMPUTED_VALUE"""),"TMDI")</f>
        <v>TMDI</v>
      </c>
    </row>
    <row r="3876">
      <c r="A3876" s="1" t="str">
        <f>IFERROR(__xludf.DUMMYFUNCTION("""COMPUTED_VALUE"""),"TMDX")</f>
        <v>TMDX</v>
      </c>
    </row>
    <row r="3877">
      <c r="A3877" s="1" t="str">
        <f>IFERROR(__xludf.DUMMYFUNCTION("""COMPUTED_VALUE"""),"TMKR")</f>
        <v>TMKR</v>
      </c>
    </row>
    <row r="3878">
      <c r="A3878" s="1" t="str">
        <f>IFERROR(__xludf.DUMMYFUNCTION("""COMPUTED_VALUE"""),"TMKRU")</f>
        <v>TMKRU</v>
      </c>
    </row>
    <row r="3879">
      <c r="A3879" s="1" t="str">
        <f>IFERROR(__xludf.DUMMYFUNCTION("""COMPUTED_VALUE"""),"TMKRW")</f>
        <v>TMKRW</v>
      </c>
    </row>
    <row r="3880">
      <c r="A3880" s="1" t="str">
        <f>IFERROR(__xludf.DUMMYFUNCTION("""COMPUTED_VALUE"""),"TMPM")</f>
        <v>TMPM</v>
      </c>
    </row>
    <row r="3881">
      <c r="A3881" s="1" t="str">
        <f>IFERROR(__xludf.DUMMYFUNCTION("""COMPUTED_VALUE"""),"TMPMU")</f>
        <v>TMPMU</v>
      </c>
    </row>
    <row r="3882">
      <c r="A3882" s="1" t="str">
        <f>IFERROR(__xludf.DUMMYFUNCTION("""COMPUTED_VALUE"""),"TMPMW")</f>
        <v>TMPMW</v>
      </c>
    </row>
    <row r="3883">
      <c r="A3883" s="1" t="str">
        <f>IFERROR(__xludf.DUMMYFUNCTION("""COMPUTED_VALUE"""),"TMTS")</f>
        <v>TMTS</v>
      </c>
    </row>
    <row r="3884">
      <c r="A3884" s="1" t="str">
        <f>IFERROR(__xludf.DUMMYFUNCTION("""COMPUTED_VALUE"""),"TMTSU")</f>
        <v>TMTSU</v>
      </c>
    </row>
    <row r="3885">
      <c r="A3885" s="1" t="str">
        <f>IFERROR(__xludf.DUMMYFUNCTION("""COMPUTED_VALUE"""),"TMTSW")</f>
        <v>TMTSW</v>
      </c>
    </row>
    <row r="3886">
      <c r="A3886" s="1" t="str">
        <f>IFERROR(__xludf.DUMMYFUNCTION("""COMPUTED_VALUE"""),"TMUS")</f>
        <v>TMUS</v>
      </c>
    </row>
    <row r="3887">
      <c r="A3887" s="1" t="str">
        <f>IFERROR(__xludf.DUMMYFUNCTION("""COMPUTED_VALUE"""),"TNDM")</f>
        <v>TNDM</v>
      </c>
    </row>
    <row r="3888">
      <c r="A3888" s="1" t="str">
        <f>IFERROR(__xludf.DUMMYFUNCTION("""COMPUTED_VALUE"""),"TNXP")</f>
        <v>TNXP</v>
      </c>
    </row>
    <row r="3889">
      <c r="A3889" s="1" t="str">
        <f>IFERROR(__xludf.DUMMYFUNCTION("""COMPUTED_VALUE"""),"TNYA")</f>
        <v>TNYA</v>
      </c>
    </row>
    <row r="3890">
      <c r="A3890" s="1" t="str">
        <f>IFERROR(__xludf.DUMMYFUNCTION("""COMPUTED_VALUE"""),"TOMZ")</f>
        <v>TOMZ</v>
      </c>
    </row>
    <row r="3891">
      <c r="A3891" s="1" t="str">
        <f>IFERROR(__xludf.DUMMYFUNCTION("""COMPUTED_VALUE"""),"TOPS")</f>
        <v>TOPS</v>
      </c>
    </row>
    <row r="3892">
      <c r="A3892" s="1" t="str">
        <f>IFERROR(__xludf.DUMMYFUNCTION("""COMPUTED_VALUE"""),"TOUR")</f>
        <v>TOUR</v>
      </c>
    </row>
    <row r="3893">
      <c r="A3893" s="1" t="str">
        <f>IFERROR(__xludf.DUMMYFUNCTION("""COMPUTED_VALUE"""),"TOWN")</f>
        <v>TOWN</v>
      </c>
    </row>
    <row r="3894">
      <c r="A3894" s="1" t="str">
        <f>IFERROR(__xludf.DUMMYFUNCTION("""COMPUTED_VALUE"""),"TPIC")</f>
        <v>TPIC</v>
      </c>
    </row>
    <row r="3895">
      <c r="A3895" s="1" t="str">
        <f>IFERROR(__xludf.DUMMYFUNCTION("""COMPUTED_VALUE"""),"TPST")</f>
        <v>TPST</v>
      </c>
    </row>
    <row r="3896">
      <c r="A3896" s="1" t="str">
        <f>IFERROR(__xludf.DUMMYFUNCTION("""COMPUTED_VALUE"""),"TPTX")</f>
        <v>TPTX</v>
      </c>
    </row>
    <row r="3897">
      <c r="A3897" s="1" t="str">
        <f>IFERROR(__xludf.DUMMYFUNCTION("""COMPUTED_VALUE"""),"TREE")</f>
        <v>TREE</v>
      </c>
    </row>
    <row r="3898">
      <c r="A3898" s="1" t="str">
        <f>IFERROR(__xludf.DUMMYFUNCTION("""COMPUTED_VALUE"""),"TRHC")</f>
        <v>TRHC</v>
      </c>
    </row>
    <row r="3899">
      <c r="A3899" s="1" t="str">
        <f>IFERROR(__xludf.DUMMYFUNCTION("""COMPUTED_VALUE"""),"TRIB")</f>
        <v>TRIB</v>
      </c>
    </row>
    <row r="3900">
      <c r="A3900" s="1" t="str">
        <f>IFERROR(__xludf.DUMMYFUNCTION("""COMPUTED_VALUE"""),"TRIL")</f>
        <v>TRIL</v>
      </c>
    </row>
    <row r="3901">
      <c r="A3901" s="1" t="str">
        <f>IFERROR(__xludf.DUMMYFUNCTION("""COMPUTED_VALUE"""),"TRIN")</f>
        <v>TRIN</v>
      </c>
    </row>
    <row r="3902">
      <c r="A3902" s="1" t="str">
        <f>IFERROR(__xludf.DUMMYFUNCTION("""COMPUTED_VALUE"""),"TRIP")</f>
        <v>TRIP</v>
      </c>
    </row>
    <row r="3903">
      <c r="A3903" s="1" t="str">
        <f>IFERROR(__xludf.DUMMYFUNCTION("""COMPUTED_VALUE"""),"TRIT")</f>
        <v>TRIT</v>
      </c>
    </row>
    <row r="3904">
      <c r="A3904" s="1" t="str">
        <f>IFERROR(__xludf.DUMMYFUNCTION("""COMPUTED_VALUE"""),"TRITW")</f>
        <v>TRITW</v>
      </c>
    </row>
    <row r="3905">
      <c r="A3905" s="1" t="str">
        <f>IFERROR(__xludf.DUMMYFUNCTION("""COMPUTED_VALUE"""),"TRKA")</f>
        <v>TRKA</v>
      </c>
    </row>
    <row r="3906">
      <c r="A3906" s="1" t="str">
        <f>IFERROR(__xludf.DUMMYFUNCTION("""COMPUTED_VALUE"""),"TRKAW")</f>
        <v>TRKAW</v>
      </c>
    </row>
    <row r="3907">
      <c r="A3907" s="1" t="str">
        <f>IFERROR(__xludf.DUMMYFUNCTION("""COMPUTED_VALUE"""),"TRMB")</f>
        <v>TRMB</v>
      </c>
    </row>
    <row r="3908">
      <c r="A3908" s="1" t="str">
        <f>IFERROR(__xludf.DUMMYFUNCTION("""COMPUTED_VALUE"""),"TRMD")</f>
        <v>TRMD</v>
      </c>
    </row>
    <row r="3909">
      <c r="A3909" s="1" t="str">
        <f>IFERROR(__xludf.DUMMYFUNCTION("""COMPUTED_VALUE"""),"TRMK")</f>
        <v>TRMK</v>
      </c>
    </row>
    <row r="3910">
      <c r="A3910" s="1" t="str">
        <f>IFERROR(__xludf.DUMMYFUNCTION("""COMPUTED_VALUE"""),"TRMR")</f>
        <v>TRMR</v>
      </c>
    </row>
    <row r="3911">
      <c r="A3911" s="1" t="str">
        <f>IFERROR(__xludf.DUMMYFUNCTION("""COMPUTED_VALUE"""),"TRMT")</f>
        <v>TRMT</v>
      </c>
    </row>
    <row r="3912">
      <c r="A3912" s="1" t="str">
        <f>IFERROR(__xludf.DUMMYFUNCTION("""COMPUTED_VALUE"""),"TRNS")</f>
        <v>TRNS</v>
      </c>
    </row>
    <row r="3913">
      <c r="A3913" s="1" t="str">
        <f>IFERROR(__xludf.DUMMYFUNCTION("""COMPUTED_VALUE"""),"TRONU")</f>
        <v>TRONU</v>
      </c>
    </row>
    <row r="3914">
      <c r="A3914" s="1" t="str">
        <f>IFERROR(__xludf.DUMMYFUNCTION("""COMPUTED_VALUE"""),"TROW")</f>
        <v>TROW</v>
      </c>
    </row>
    <row r="3915">
      <c r="A3915" s="1" t="str">
        <f>IFERROR(__xludf.DUMMYFUNCTION("""COMPUTED_VALUE"""),"TRS")</f>
        <v>TRS</v>
      </c>
    </row>
    <row r="3916">
      <c r="A3916" s="1" t="str">
        <f>IFERROR(__xludf.DUMMYFUNCTION("""COMPUTED_VALUE"""),"TRST")</f>
        <v>TRST</v>
      </c>
    </row>
    <row r="3917">
      <c r="A3917" s="1" t="str">
        <f>IFERROR(__xludf.DUMMYFUNCTION("""COMPUTED_VALUE"""),"TRUP")</f>
        <v>TRUP</v>
      </c>
    </row>
    <row r="3918">
      <c r="A3918" s="1" t="str">
        <f>IFERROR(__xludf.DUMMYFUNCTION("""COMPUTED_VALUE"""),"TRVG")</f>
        <v>TRVG</v>
      </c>
    </row>
    <row r="3919">
      <c r="A3919" s="1" t="str">
        <f>IFERROR(__xludf.DUMMYFUNCTION("""COMPUTED_VALUE"""),"TRVI")</f>
        <v>TRVI</v>
      </c>
    </row>
    <row r="3920">
      <c r="A3920" s="1" t="str">
        <f>IFERROR(__xludf.DUMMYFUNCTION("""COMPUTED_VALUE"""),"TRVN")</f>
        <v>TRVN</v>
      </c>
    </row>
    <row r="3921">
      <c r="A3921" s="1" t="str">
        <f>IFERROR(__xludf.DUMMYFUNCTION("""COMPUTED_VALUE"""),"TSBK")</f>
        <v>TSBK</v>
      </c>
    </row>
    <row r="3922">
      <c r="A3922" s="1" t="str">
        <f>IFERROR(__xludf.DUMMYFUNCTION("""COMPUTED_VALUE"""),"TSC")</f>
        <v>TSC</v>
      </c>
    </row>
    <row r="3923">
      <c r="A3923" s="1" t="str">
        <f>IFERROR(__xludf.DUMMYFUNCTION("""COMPUTED_VALUE"""),"TSCAP")</f>
        <v>TSCAP</v>
      </c>
    </row>
    <row r="3924">
      <c r="A3924" s="1" t="str">
        <f>IFERROR(__xludf.DUMMYFUNCTION("""COMPUTED_VALUE"""),"TSCBP")</f>
        <v>TSCBP</v>
      </c>
    </row>
    <row r="3925">
      <c r="A3925" s="1" t="str">
        <f>IFERROR(__xludf.DUMMYFUNCTION("""COMPUTED_VALUE"""),"TSCO")</f>
        <v>TSCO</v>
      </c>
    </row>
    <row r="3926">
      <c r="A3926" s="1" t="str">
        <f>IFERROR(__xludf.DUMMYFUNCTION("""COMPUTED_VALUE"""),"TSEM")</f>
        <v>TSEM</v>
      </c>
    </row>
    <row r="3927">
      <c r="A3927" s="1" t="str">
        <f>IFERROR(__xludf.DUMMYFUNCTION("""COMPUTED_VALUE"""),"TSHA")</f>
        <v>TSHA</v>
      </c>
    </row>
    <row r="3928">
      <c r="A3928" s="1" t="str">
        <f>IFERROR(__xludf.DUMMYFUNCTION("""COMPUTED_VALUE"""),"TSIB")</f>
        <v>TSIB</v>
      </c>
    </row>
    <row r="3929">
      <c r="A3929" s="1" t="str">
        <f>IFERROR(__xludf.DUMMYFUNCTION("""COMPUTED_VALUE"""),"TSIBU")</f>
        <v>TSIBU</v>
      </c>
    </row>
    <row r="3930">
      <c r="A3930" s="1" t="str">
        <f>IFERROR(__xludf.DUMMYFUNCTION("""COMPUTED_VALUE"""),"TSIBW")</f>
        <v>TSIBW</v>
      </c>
    </row>
    <row r="3931">
      <c r="A3931" s="1" t="str">
        <f>IFERROR(__xludf.DUMMYFUNCTION("""COMPUTED_VALUE"""),"TSLA")</f>
        <v>TSLA</v>
      </c>
    </row>
    <row r="3932">
      <c r="A3932" s="1" t="str">
        <f>IFERROR(__xludf.DUMMYFUNCTION("""COMPUTED_VALUE"""),"TSP")</f>
        <v>TSP</v>
      </c>
    </row>
    <row r="3933">
      <c r="A3933" s="1" t="str">
        <f>IFERROR(__xludf.DUMMYFUNCTION("""COMPUTED_VALUE"""),"TSRI")</f>
        <v>TSRI</v>
      </c>
    </row>
    <row r="3934">
      <c r="A3934" s="1" t="str">
        <f>IFERROR(__xludf.DUMMYFUNCTION("""COMPUTED_VALUE"""),"TTCF")</f>
        <v>TTCF</v>
      </c>
    </row>
    <row r="3935">
      <c r="A3935" s="1" t="str">
        <f>IFERROR(__xludf.DUMMYFUNCTION("""COMPUTED_VALUE"""),"TTD")</f>
        <v>TTD</v>
      </c>
    </row>
    <row r="3936">
      <c r="A3936" s="1" t="str">
        <f>IFERROR(__xludf.DUMMYFUNCTION("""COMPUTED_VALUE"""),"TTEC")</f>
        <v>TTEC</v>
      </c>
    </row>
    <row r="3937">
      <c r="A3937" s="1" t="str">
        <f>IFERROR(__xludf.DUMMYFUNCTION("""COMPUTED_VALUE"""),"TTEK")</f>
        <v>TTEK</v>
      </c>
    </row>
    <row r="3938">
      <c r="A3938" s="1" t="str">
        <f>IFERROR(__xludf.DUMMYFUNCTION("""COMPUTED_VALUE"""),"TTGT")</f>
        <v>TTGT</v>
      </c>
    </row>
    <row r="3939">
      <c r="A3939" s="1" t="str">
        <f>IFERROR(__xludf.DUMMYFUNCTION("""COMPUTED_VALUE"""),"TTMI")</f>
        <v>TTMI</v>
      </c>
    </row>
    <row r="3940">
      <c r="A3940" s="1" t="str">
        <f>IFERROR(__xludf.DUMMYFUNCTION("""COMPUTED_VALUE"""),"TTNP")</f>
        <v>TTNP</v>
      </c>
    </row>
    <row r="3941">
      <c r="A3941" s="1" t="str">
        <f>IFERROR(__xludf.DUMMYFUNCTION("""COMPUTED_VALUE"""),"TTOO")</f>
        <v>TTOO</v>
      </c>
    </row>
    <row r="3942">
      <c r="A3942" s="1" t="str">
        <f>IFERROR(__xludf.DUMMYFUNCTION("""COMPUTED_VALUE"""),"TTSH")</f>
        <v>TTSH</v>
      </c>
    </row>
    <row r="3943">
      <c r="A3943" s="1" t="str">
        <f>IFERROR(__xludf.DUMMYFUNCTION("""COMPUTED_VALUE"""),"TTWO")</f>
        <v>TTWO</v>
      </c>
    </row>
    <row r="3944">
      <c r="A3944" s="1" t="str">
        <f>IFERROR(__xludf.DUMMYFUNCTION("""COMPUTED_VALUE"""),"TUEM")</f>
        <v>TUEM</v>
      </c>
    </row>
    <row r="3945">
      <c r="A3945" s="1" t="str">
        <f>IFERROR(__xludf.DUMMYFUNCTION("""COMPUTED_VALUE"""),"TUGC")</f>
        <v>TUGC</v>
      </c>
    </row>
    <row r="3946">
      <c r="A3946" s="1" t="str">
        <f>IFERROR(__xludf.DUMMYFUNCTION("""COMPUTED_VALUE"""),"TUGCU")</f>
        <v>TUGCU</v>
      </c>
    </row>
    <row r="3947">
      <c r="A3947" s="1" t="str">
        <f>IFERROR(__xludf.DUMMYFUNCTION("""COMPUTED_VALUE"""),"TUGCW")</f>
        <v>TUGCW</v>
      </c>
    </row>
    <row r="3948">
      <c r="A3948" s="1" t="str">
        <f>IFERROR(__xludf.DUMMYFUNCTION("""COMPUTED_VALUE"""),"TURN")</f>
        <v>TURN</v>
      </c>
    </row>
    <row r="3949">
      <c r="A3949" s="1" t="str">
        <f>IFERROR(__xludf.DUMMYFUNCTION("""COMPUTED_VALUE"""),"TUSK")</f>
        <v>TUSK</v>
      </c>
    </row>
    <row r="3950">
      <c r="A3950" s="1" t="str">
        <f>IFERROR(__xludf.DUMMYFUNCTION("""COMPUTED_VALUE"""),"TVAC")</f>
        <v>TVAC</v>
      </c>
    </row>
    <row r="3951">
      <c r="A3951" s="1" t="str">
        <f>IFERROR(__xludf.DUMMYFUNCTION("""COMPUTED_VALUE"""),"TVACU")</f>
        <v>TVACU</v>
      </c>
    </row>
    <row r="3952">
      <c r="A3952" s="1" t="str">
        <f>IFERROR(__xludf.DUMMYFUNCTION("""COMPUTED_VALUE"""),"TVACW")</f>
        <v>TVACW</v>
      </c>
    </row>
    <row r="3953">
      <c r="A3953" s="1" t="str">
        <f>IFERROR(__xludf.DUMMYFUNCTION("""COMPUTED_VALUE"""),"TVTX")</f>
        <v>TVTX</v>
      </c>
    </row>
    <row r="3954">
      <c r="A3954" s="1" t="str">
        <f>IFERROR(__xludf.DUMMYFUNCTION("""COMPUTED_VALUE"""),"TVTY")</f>
        <v>TVTY</v>
      </c>
    </row>
    <row r="3955">
      <c r="A3955" s="1" t="str">
        <f>IFERROR(__xludf.DUMMYFUNCTION("""COMPUTED_VALUE"""),"TW")</f>
        <v>TW</v>
      </c>
    </row>
    <row r="3956">
      <c r="A3956" s="1" t="str">
        <f>IFERROR(__xludf.DUMMYFUNCTION("""COMPUTED_VALUE"""),"TWCBU")</f>
        <v>TWCBU</v>
      </c>
    </row>
    <row r="3957">
      <c r="A3957" s="1" t="str">
        <f>IFERROR(__xludf.DUMMYFUNCTION("""COMPUTED_VALUE"""),"TWCT")</f>
        <v>TWCT</v>
      </c>
    </row>
    <row r="3958">
      <c r="A3958" s="1" t="str">
        <f>IFERROR(__xludf.DUMMYFUNCTION("""COMPUTED_VALUE"""),"TWCTU")</f>
        <v>TWCTU</v>
      </c>
    </row>
    <row r="3959">
      <c r="A3959" s="1" t="str">
        <f>IFERROR(__xludf.DUMMYFUNCTION("""COMPUTED_VALUE"""),"TWCTW")</f>
        <v>TWCTW</v>
      </c>
    </row>
    <row r="3960">
      <c r="A3960" s="1" t="str">
        <f>IFERROR(__xludf.DUMMYFUNCTION("""COMPUTED_VALUE"""),"TWIN")</f>
        <v>TWIN</v>
      </c>
    </row>
    <row r="3961">
      <c r="A3961" s="1" t="str">
        <f>IFERROR(__xludf.DUMMYFUNCTION("""COMPUTED_VALUE"""),"TWLV")</f>
        <v>TWLV</v>
      </c>
    </row>
    <row r="3962">
      <c r="A3962" s="1" t="str">
        <f>IFERROR(__xludf.DUMMYFUNCTION("""COMPUTED_VALUE"""),"TWLVU")</f>
        <v>TWLVU</v>
      </c>
    </row>
    <row r="3963">
      <c r="A3963" s="1" t="str">
        <f>IFERROR(__xludf.DUMMYFUNCTION("""COMPUTED_VALUE"""),"TWLVW")</f>
        <v>TWLVW</v>
      </c>
    </row>
    <row r="3964">
      <c r="A3964" s="1" t="str">
        <f>IFERROR(__xludf.DUMMYFUNCTION("""COMPUTED_VALUE"""),"TWNK")</f>
        <v>TWNK</v>
      </c>
    </row>
    <row r="3965">
      <c r="A3965" s="1" t="str">
        <f>IFERROR(__xludf.DUMMYFUNCTION("""COMPUTED_VALUE"""),"TWNKW")</f>
        <v>TWNKW</v>
      </c>
    </row>
    <row r="3966">
      <c r="A3966" s="1" t="str">
        <f>IFERROR(__xludf.DUMMYFUNCTION("""COMPUTED_VALUE"""),"TWOU")</f>
        <v>TWOU</v>
      </c>
    </row>
    <row r="3967">
      <c r="A3967" s="1" t="str">
        <f>IFERROR(__xludf.DUMMYFUNCTION("""COMPUTED_VALUE"""),"TWST")</f>
        <v>TWST</v>
      </c>
    </row>
    <row r="3968">
      <c r="A3968" s="1" t="str">
        <f>IFERROR(__xludf.DUMMYFUNCTION("""COMPUTED_VALUE"""),"TXG")</f>
        <v>TXG</v>
      </c>
    </row>
    <row r="3969">
      <c r="A3969" s="1" t="str">
        <f>IFERROR(__xludf.DUMMYFUNCTION("""COMPUTED_VALUE"""),"TXMD")</f>
        <v>TXMD</v>
      </c>
    </row>
    <row r="3970">
      <c r="A3970" s="1" t="str">
        <f>IFERROR(__xludf.DUMMYFUNCTION("""COMPUTED_VALUE"""),"TXN")</f>
        <v>TXN</v>
      </c>
    </row>
    <row r="3971">
      <c r="A3971" s="1" t="str">
        <f>IFERROR(__xludf.DUMMYFUNCTION("""COMPUTED_VALUE"""),"TXRH")</f>
        <v>TXRH</v>
      </c>
    </row>
    <row r="3972">
      <c r="A3972" s="1" t="str">
        <f>IFERROR(__xludf.DUMMYFUNCTION("""COMPUTED_VALUE"""),"TYHT")</f>
        <v>TYHT</v>
      </c>
    </row>
    <row r="3973">
      <c r="A3973" s="1" t="str">
        <f>IFERROR(__xludf.DUMMYFUNCTION("""COMPUTED_VALUE"""),"TYME")</f>
        <v>TYME</v>
      </c>
    </row>
    <row r="3974">
      <c r="A3974" s="1" t="str">
        <f>IFERROR(__xludf.DUMMYFUNCTION("""COMPUTED_VALUE"""),"TZOO")</f>
        <v>TZOO</v>
      </c>
    </row>
    <row r="3975">
      <c r="A3975" s="1" t="str">
        <f>IFERROR(__xludf.DUMMYFUNCTION("""COMPUTED_VALUE"""),"TZPS")</f>
        <v>TZPS</v>
      </c>
    </row>
    <row r="3976">
      <c r="A3976" s="1" t="str">
        <f>IFERROR(__xludf.DUMMYFUNCTION("""COMPUTED_VALUE"""),"TZPSU")</f>
        <v>TZPSU</v>
      </c>
    </row>
    <row r="3977">
      <c r="A3977" s="1" t="str">
        <f>IFERROR(__xludf.DUMMYFUNCTION("""COMPUTED_VALUE"""),"TZPSW")</f>
        <v>TZPSW</v>
      </c>
    </row>
    <row r="3978">
      <c r="A3978" s="1" t="str">
        <f>IFERROR(__xludf.DUMMYFUNCTION("""COMPUTED_VALUE"""),"UAL")</f>
        <v>UAL</v>
      </c>
    </row>
    <row r="3979">
      <c r="A3979" s="1" t="str">
        <f>IFERROR(__xludf.DUMMYFUNCTION("""COMPUTED_VALUE"""),"UBCP")</f>
        <v>UBCP</v>
      </c>
    </row>
    <row r="3980">
      <c r="A3980" s="1" t="str">
        <f>IFERROR(__xludf.DUMMYFUNCTION("""COMPUTED_VALUE"""),"UBFO")</f>
        <v>UBFO</v>
      </c>
    </row>
    <row r="3981">
      <c r="A3981" s="1" t="str">
        <f>IFERROR(__xludf.DUMMYFUNCTION("""COMPUTED_VALUE"""),"UBOH")</f>
        <v>UBOH</v>
      </c>
    </row>
    <row r="3982">
      <c r="A3982" s="1" t="str">
        <f>IFERROR(__xludf.DUMMYFUNCTION("""COMPUTED_VALUE"""),"UBSI")</f>
        <v>UBSI</v>
      </c>
    </row>
    <row r="3983">
      <c r="A3983" s="1" t="str">
        <f>IFERROR(__xludf.DUMMYFUNCTION("""COMPUTED_VALUE"""),"UBX")</f>
        <v>UBX</v>
      </c>
    </row>
    <row r="3984">
      <c r="A3984" s="1" t="str">
        <f>IFERROR(__xludf.DUMMYFUNCTION("""COMPUTED_VALUE"""),"UCBI")</f>
        <v>UCBI</v>
      </c>
    </row>
    <row r="3985">
      <c r="A3985" s="1" t="str">
        <f>IFERROR(__xludf.DUMMYFUNCTION("""COMPUTED_VALUE"""),"UCBIO")</f>
        <v>UCBIO</v>
      </c>
    </row>
    <row r="3986">
      <c r="A3986" s="1" t="str">
        <f>IFERROR(__xludf.DUMMYFUNCTION("""COMPUTED_VALUE"""),"UCL")</f>
        <v>UCL</v>
      </c>
    </row>
    <row r="3987">
      <c r="A3987" s="1" t="str">
        <f>IFERROR(__xludf.DUMMYFUNCTION("""COMPUTED_VALUE"""),"UCTT")</f>
        <v>UCTT</v>
      </c>
    </row>
    <row r="3988">
      <c r="A3988" s="1" t="str">
        <f>IFERROR(__xludf.DUMMYFUNCTION("""COMPUTED_VALUE"""),"UEIC")</f>
        <v>UEIC</v>
      </c>
    </row>
    <row r="3989">
      <c r="A3989" s="1" t="str">
        <f>IFERROR(__xludf.DUMMYFUNCTION("""COMPUTED_VALUE"""),"UEPS")</f>
        <v>UEPS</v>
      </c>
    </row>
    <row r="3990">
      <c r="A3990" s="1" t="str">
        <f>IFERROR(__xludf.DUMMYFUNCTION("""COMPUTED_VALUE"""),"UFCS")</f>
        <v>UFCS</v>
      </c>
    </row>
    <row r="3991">
      <c r="A3991" s="1" t="str">
        <f>IFERROR(__xludf.DUMMYFUNCTION("""COMPUTED_VALUE"""),"UFPI")</f>
        <v>UFPI</v>
      </c>
    </row>
    <row r="3992">
      <c r="A3992" s="1" t="str">
        <f>IFERROR(__xludf.DUMMYFUNCTION("""COMPUTED_VALUE"""),"UFPT")</f>
        <v>UFPT</v>
      </c>
    </row>
    <row r="3993">
      <c r="A3993" s="1" t="str">
        <f>IFERROR(__xludf.DUMMYFUNCTION("""COMPUTED_VALUE"""),"UG")</f>
        <v>UG</v>
      </c>
    </row>
    <row r="3994">
      <c r="A3994" s="1" t="str">
        <f>IFERROR(__xludf.DUMMYFUNCTION("""COMPUTED_VALUE"""),"UGRO")</f>
        <v>UGRO</v>
      </c>
    </row>
    <row r="3995">
      <c r="A3995" s="1" t="str">
        <f>IFERROR(__xludf.DUMMYFUNCTION("""COMPUTED_VALUE"""),"UHAL")</f>
        <v>UHAL</v>
      </c>
    </row>
    <row r="3996">
      <c r="A3996" s="1" t="str">
        <f>IFERROR(__xludf.DUMMYFUNCTION("""COMPUTED_VALUE"""),"UIHC")</f>
        <v>UIHC</v>
      </c>
    </row>
    <row r="3997">
      <c r="A3997" s="1" t="str">
        <f>IFERROR(__xludf.DUMMYFUNCTION("""COMPUTED_VALUE"""),"UK")</f>
        <v>UK</v>
      </c>
    </row>
    <row r="3998">
      <c r="A3998" s="1" t="str">
        <f>IFERROR(__xludf.DUMMYFUNCTION("""COMPUTED_VALUE"""),"UKOMW")</f>
        <v>UKOMW</v>
      </c>
    </row>
    <row r="3999">
      <c r="A3999" s="1" t="str">
        <f>IFERROR(__xludf.DUMMYFUNCTION("""COMPUTED_VALUE"""),"ULBI")</f>
        <v>ULBI</v>
      </c>
    </row>
    <row r="4000">
      <c r="A4000" s="1" t="str">
        <f>IFERROR(__xludf.DUMMYFUNCTION("""COMPUTED_VALUE"""),"ULCC")</f>
        <v>ULCC</v>
      </c>
    </row>
    <row r="4001">
      <c r="A4001" s="1" t="str">
        <f>IFERROR(__xludf.DUMMYFUNCTION("""COMPUTED_VALUE"""),"ULH")</f>
        <v>ULH</v>
      </c>
    </row>
    <row r="4002">
      <c r="A4002" s="1" t="str">
        <f>IFERROR(__xludf.DUMMYFUNCTION("""COMPUTED_VALUE"""),"ULTA")</f>
        <v>ULTA</v>
      </c>
    </row>
    <row r="4003">
      <c r="A4003" s="1" t="str">
        <f>IFERROR(__xludf.DUMMYFUNCTION("""COMPUTED_VALUE"""),"UMBF")</f>
        <v>UMBF</v>
      </c>
    </row>
    <row r="4004">
      <c r="A4004" s="1" t="str">
        <f>IFERROR(__xludf.DUMMYFUNCTION("""COMPUTED_VALUE"""),"UMPQ")</f>
        <v>UMPQ</v>
      </c>
    </row>
    <row r="4005">
      <c r="A4005" s="1" t="str">
        <f>IFERROR(__xludf.DUMMYFUNCTION("""COMPUTED_VALUE"""),"UNAM")</f>
        <v>UNAM</v>
      </c>
    </row>
    <row r="4006">
      <c r="A4006" s="1" t="str">
        <f>IFERROR(__xludf.DUMMYFUNCTION("""COMPUTED_VALUE"""),"UNB")</f>
        <v>UNB</v>
      </c>
    </row>
    <row r="4007">
      <c r="A4007" s="1" t="str">
        <f>IFERROR(__xludf.DUMMYFUNCTION("""COMPUTED_VALUE"""),"UNCY")</f>
        <v>UNCY</v>
      </c>
    </row>
    <row r="4008">
      <c r="A4008" s="1" t="str">
        <f>IFERROR(__xludf.DUMMYFUNCTION("""COMPUTED_VALUE"""),"UNIT")</f>
        <v>UNIT</v>
      </c>
    </row>
    <row r="4009">
      <c r="A4009" s="1" t="str">
        <f>IFERROR(__xludf.DUMMYFUNCTION("""COMPUTED_VALUE"""),"UNTY")</f>
        <v>UNTY</v>
      </c>
    </row>
    <row r="4010">
      <c r="A4010" s="1" t="str">
        <f>IFERROR(__xludf.DUMMYFUNCTION("""COMPUTED_VALUE"""),"UONE")</f>
        <v>UONE</v>
      </c>
    </row>
    <row r="4011">
      <c r="A4011" s="1" t="str">
        <f>IFERROR(__xludf.DUMMYFUNCTION("""COMPUTED_VALUE"""),"UONEK")</f>
        <v>UONEK</v>
      </c>
    </row>
    <row r="4012">
      <c r="A4012" s="1" t="str">
        <f>IFERROR(__xludf.DUMMYFUNCTION("""COMPUTED_VALUE"""),"UPC")</f>
        <v>UPC</v>
      </c>
    </row>
    <row r="4013">
      <c r="A4013" s="1" t="str">
        <f>IFERROR(__xludf.DUMMYFUNCTION("""COMPUTED_VALUE"""),"UPLD")</f>
        <v>UPLD</v>
      </c>
    </row>
    <row r="4014">
      <c r="A4014" s="1" t="str">
        <f>IFERROR(__xludf.DUMMYFUNCTION("""COMPUTED_VALUE"""),"UPST")</f>
        <v>UPST</v>
      </c>
    </row>
    <row r="4015">
      <c r="A4015" s="1" t="str">
        <f>IFERROR(__xludf.DUMMYFUNCTION("""COMPUTED_VALUE"""),"UPTDU")</f>
        <v>UPTDU</v>
      </c>
    </row>
    <row r="4016">
      <c r="A4016" s="1" t="str">
        <f>IFERROR(__xludf.DUMMYFUNCTION("""COMPUTED_VALUE"""),"UPWK")</f>
        <v>UPWK</v>
      </c>
    </row>
    <row r="4017">
      <c r="A4017" s="1" t="str">
        <f>IFERROR(__xludf.DUMMYFUNCTION("""COMPUTED_VALUE"""),"URBN")</f>
        <v>URBN</v>
      </c>
    </row>
    <row r="4018">
      <c r="A4018" s="1" t="str">
        <f>IFERROR(__xludf.DUMMYFUNCTION("""COMPUTED_VALUE"""),"URGN")</f>
        <v>URGN</v>
      </c>
    </row>
    <row r="4019">
      <c r="A4019" s="1" t="str">
        <f>IFERROR(__xludf.DUMMYFUNCTION("""COMPUTED_VALUE"""),"UROY")</f>
        <v>UROY</v>
      </c>
    </row>
    <row r="4020">
      <c r="A4020" s="1" t="str">
        <f>IFERROR(__xludf.DUMMYFUNCTION("""COMPUTED_VALUE"""),"USAK")</f>
        <v>USAK</v>
      </c>
    </row>
    <row r="4021">
      <c r="A4021" s="1" t="str">
        <f>IFERROR(__xludf.DUMMYFUNCTION("""COMPUTED_VALUE"""),"USAP")</f>
        <v>USAP</v>
      </c>
    </row>
    <row r="4022">
      <c r="A4022" s="1" t="str">
        <f>IFERROR(__xludf.DUMMYFUNCTION("""COMPUTED_VALUE"""),"USAU")</f>
        <v>USAU</v>
      </c>
    </row>
    <row r="4023">
      <c r="A4023" s="1" t="str">
        <f>IFERROR(__xludf.DUMMYFUNCTION("""COMPUTED_VALUE"""),"USCB")</f>
        <v>USCB</v>
      </c>
    </row>
    <row r="4024">
      <c r="A4024" s="1" t="str">
        <f>IFERROR(__xludf.DUMMYFUNCTION("""COMPUTED_VALUE"""),"USCR")</f>
        <v>USCR</v>
      </c>
    </row>
    <row r="4025">
      <c r="A4025" s="1" t="str">
        <f>IFERROR(__xludf.DUMMYFUNCTION("""COMPUTED_VALUE"""),"USEG")</f>
        <v>USEG</v>
      </c>
    </row>
    <row r="4026">
      <c r="A4026" s="1" t="str">
        <f>IFERROR(__xludf.DUMMYFUNCTION("""COMPUTED_VALUE"""),"USIO")</f>
        <v>USIO</v>
      </c>
    </row>
    <row r="4027">
      <c r="A4027" s="1" t="str">
        <f>IFERROR(__xludf.DUMMYFUNCTION("""COMPUTED_VALUE"""),"USLM")</f>
        <v>USLM</v>
      </c>
    </row>
    <row r="4028">
      <c r="A4028" s="1" t="str">
        <f>IFERROR(__xludf.DUMMYFUNCTION("""COMPUTED_VALUE"""),"USWS")</f>
        <v>USWS</v>
      </c>
    </row>
    <row r="4029">
      <c r="A4029" s="1" t="str">
        <f>IFERROR(__xludf.DUMMYFUNCTION("""COMPUTED_VALUE"""),"USWSW")</f>
        <v>USWSW</v>
      </c>
    </row>
    <row r="4030">
      <c r="A4030" s="1" t="str">
        <f>IFERROR(__xludf.DUMMYFUNCTION("""COMPUTED_VALUE"""),"UTHR")</f>
        <v>UTHR</v>
      </c>
    </row>
    <row r="4031">
      <c r="A4031" s="1" t="str">
        <f>IFERROR(__xludf.DUMMYFUNCTION("""COMPUTED_VALUE"""),"UTMD")</f>
        <v>UTMD</v>
      </c>
    </row>
    <row r="4032">
      <c r="A4032" s="1" t="str">
        <f>IFERROR(__xludf.DUMMYFUNCTION("""COMPUTED_VALUE"""),"UTME")</f>
        <v>UTME</v>
      </c>
    </row>
    <row r="4033">
      <c r="A4033" s="1" t="str">
        <f>IFERROR(__xludf.DUMMYFUNCTION("""COMPUTED_VALUE"""),"UTSI")</f>
        <v>UTSI</v>
      </c>
    </row>
    <row r="4034">
      <c r="A4034" s="1" t="str">
        <f>IFERROR(__xludf.DUMMYFUNCTION("""COMPUTED_VALUE"""),"UVSP")</f>
        <v>UVSP</v>
      </c>
    </row>
    <row r="4035">
      <c r="A4035" s="1" t="str">
        <f>IFERROR(__xludf.DUMMYFUNCTION("""COMPUTED_VALUE"""),"UXIN")</f>
        <v>UXIN</v>
      </c>
    </row>
    <row r="4036">
      <c r="A4036" s="1" t="str">
        <f>IFERROR(__xludf.DUMMYFUNCTION("""COMPUTED_VALUE"""),"VABK")</f>
        <v>VABK</v>
      </c>
    </row>
    <row r="4037">
      <c r="A4037" s="1" t="str">
        <f>IFERROR(__xludf.DUMMYFUNCTION("""COMPUTED_VALUE"""),"VACC")</f>
        <v>VACC</v>
      </c>
    </row>
    <row r="4038">
      <c r="A4038" s="1" t="str">
        <f>IFERROR(__xludf.DUMMYFUNCTION("""COMPUTED_VALUE"""),"VACQ")</f>
        <v>VACQ</v>
      </c>
    </row>
    <row r="4039">
      <c r="A4039" s="1" t="str">
        <f>IFERROR(__xludf.DUMMYFUNCTION("""COMPUTED_VALUE"""),"VACQU")</f>
        <v>VACQU</v>
      </c>
    </row>
    <row r="4040">
      <c r="A4040" s="1" t="str">
        <f>IFERROR(__xludf.DUMMYFUNCTION("""COMPUTED_VALUE"""),"VACQW")</f>
        <v>VACQW</v>
      </c>
    </row>
    <row r="4041">
      <c r="A4041" s="1" t="str">
        <f>IFERROR(__xludf.DUMMYFUNCTION("""COMPUTED_VALUE"""),"VALN")</f>
        <v>VALN</v>
      </c>
    </row>
    <row r="4042">
      <c r="A4042" s="1" t="str">
        <f>IFERROR(__xludf.DUMMYFUNCTION("""COMPUTED_VALUE"""),"VALU")</f>
        <v>VALU</v>
      </c>
    </row>
    <row r="4043">
      <c r="A4043" s="1" t="str">
        <f>IFERROR(__xludf.DUMMYFUNCTION("""COMPUTED_VALUE"""),"VAQC")</f>
        <v>VAQC</v>
      </c>
    </row>
    <row r="4044">
      <c r="A4044" s="1" t="str">
        <f>IFERROR(__xludf.DUMMYFUNCTION("""COMPUTED_VALUE"""),"VBFC")</f>
        <v>VBFC</v>
      </c>
    </row>
    <row r="4045">
      <c r="A4045" s="1" t="str">
        <f>IFERROR(__xludf.DUMMYFUNCTION("""COMPUTED_VALUE"""),"VBIV")</f>
        <v>VBIV</v>
      </c>
    </row>
    <row r="4046">
      <c r="A4046" s="1" t="str">
        <f>IFERROR(__xludf.DUMMYFUNCTION("""COMPUTED_VALUE"""),"VBLT")</f>
        <v>VBLT</v>
      </c>
    </row>
    <row r="4047">
      <c r="A4047" s="1" t="str">
        <f>IFERROR(__xludf.DUMMYFUNCTION("""COMPUTED_VALUE"""),"VBTX")</f>
        <v>VBTX</v>
      </c>
    </row>
    <row r="4048">
      <c r="A4048" s="1" t="str">
        <f>IFERROR(__xludf.DUMMYFUNCTION("""COMPUTED_VALUE"""),"VC")</f>
        <v>VC</v>
      </c>
    </row>
    <row r="4049">
      <c r="A4049" s="1" t="str">
        <f>IFERROR(__xludf.DUMMYFUNCTION("""COMPUTED_VALUE"""),"VCEL")</f>
        <v>VCEL</v>
      </c>
    </row>
    <row r="4050">
      <c r="A4050" s="1" t="str">
        <f>IFERROR(__xludf.DUMMYFUNCTION("""COMPUTED_VALUE"""),"VCKA")</f>
        <v>VCKA</v>
      </c>
    </row>
    <row r="4051">
      <c r="A4051" s="1" t="str">
        <f>IFERROR(__xludf.DUMMYFUNCTION("""COMPUTED_VALUE"""),"VCKAU")</f>
        <v>VCKAU</v>
      </c>
    </row>
    <row r="4052">
      <c r="A4052" s="1" t="str">
        <f>IFERROR(__xludf.DUMMYFUNCTION("""COMPUTED_VALUE"""),"VCKAW")</f>
        <v>VCKAW</v>
      </c>
    </row>
    <row r="4053">
      <c r="A4053" s="1" t="str">
        <f>IFERROR(__xludf.DUMMYFUNCTION("""COMPUTED_VALUE"""),"VCNX")</f>
        <v>VCNX</v>
      </c>
    </row>
    <row r="4054">
      <c r="A4054" s="1" t="str">
        <f>IFERROR(__xludf.DUMMYFUNCTION("""COMPUTED_VALUE"""),"VCTR")</f>
        <v>VCTR</v>
      </c>
    </row>
    <row r="4055">
      <c r="A4055" s="1" t="str">
        <f>IFERROR(__xludf.DUMMYFUNCTION("""COMPUTED_VALUE"""),"VCYT")</f>
        <v>VCYT</v>
      </c>
    </row>
    <row r="4056">
      <c r="A4056" s="1" t="str">
        <f>IFERROR(__xludf.DUMMYFUNCTION("""COMPUTED_VALUE"""),"VECO")</f>
        <v>VECO</v>
      </c>
    </row>
    <row r="4057">
      <c r="A4057" s="1" t="str">
        <f>IFERROR(__xludf.DUMMYFUNCTION("""COMPUTED_VALUE"""),"VECT")</f>
        <v>VECT</v>
      </c>
    </row>
    <row r="4058">
      <c r="A4058" s="1" t="str">
        <f>IFERROR(__xludf.DUMMYFUNCTION("""COMPUTED_VALUE"""),"VEEE")</f>
        <v>VEEE</v>
      </c>
    </row>
    <row r="4059">
      <c r="A4059" s="1" t="str">
        <f>IFERROR(__xludf.DUMMYFUNCTION("""COMPUTED_VALUE"""),"VELO")</f>
        <v>VELO</v>
      </c>
    </row>
    <row r="4060">
      <c r="A4060" s="1" t="str">
        <f>IFERROR(__xludf.DUMMYFUNCTION("""COMPUTED_VALUE"""),"VELOU")</f>
        <v>VELOU</v>
      </c>
    </row>
    <row r="4061">
      <c r="A4061" s="1" t="str">
        <f>IFERROR(__xludf.DUMMYFUNCTION("""COMPUTED_VALUE"""),"VELOW")</f>
        <v>VELOW</v>
      </c>
    </row>
    <row r="4062">
      <c r="A4062" s="1" t="str">
        <f>IFERROR(__xludf.DUMMYFUNCTION("""COMPUTED_VALUE"""),"VENA")</f>
        <v>VENA</v>
      </c>
    </row>
    <row r="4063">
      <c r="A4063" s="1" t="str">
        <f>IFERROR(__xludf.DUMMYFUNCTION("""COMPUTED_VALUE"""),"VENAR")</f>
        <v>VENAR</v>
      </c>
    </row>
    <row r="4064">
      <c r="A4064" s="1" t="str">
        <f>IFERROR(__xludf.DUMMYFUNCTION("""COMPUTED_VALUE"""),"VENAW")</f>
        <v>VENAW</v>
      </c>
    </row>
    <row r="4065">
      <c r="A4065" s="1" t="str">
        <f>IFERROR(__xludf.DUMMYFUNCTION("""COMPUTED_VALUE"""),"VEON")</f>
        <v>VEON</v>
      </c>
    </row>
    <row r="4066">
      <c r="A4066" s="1" t="str">
        <f>IFERROR(__xludf.DUMMYFUNCTION("""COMPUTED_VALUE"""),"VERA")</f>
        <v>VERA</v>
      </c>
    </row>
    <row r="4067">
      <c r="A4067" s="1" t="str">
        <f>IFERROR(__xludf.DUMMYFUNCTION("""COMPUTED_VALUE"""),"VERB")</f>
        <v>VERB</v>
      </c>
    </row>
    <row r="4068">
      <c r="A4068" s="1" t="str">
        <f>IFERROR(__xludf.DUMMYFUNCTION("""COMPUTED_VALUE"""),"VERBW")</f>
        <v>VERBW</v>
      </c>
    </row>
    <row r="4069">
      <c r="A4069" s="1" t="str">
        <f>IFERROR(__xludf.DUMMYFUNCTION("""COMPUTED_VALUE"""),"VERI")</f>
        <v>VERI</v>
      </c>
    </row>
    <row r="4070">
      <c r="A4070" s="1" t="str">
        <f>IFERROR(__xludf.DUMMYFUNCTION("""COMPUTED_VALUE"""),"VERO")</f>
        <v>VERO</v>
      </c>
    </row>
    <row r="4071">
      <c r="A4071" s="1" t="str">
        <f>IFERROR(__xludf.DUMMYFUNCTION("""COMPUTED_VALUE"""),"VERU")</f>
        <v>VERU</v>
      </c>
    </row>
    <row r="4072">
      <c r="A4072" s="1" t="str">
        <f>IFERROR(__xludf.DUMMYFUNCTION("""COMPUTED_VALUE"""),"VERV")</f>
        <v>VERV</v>
      </c>
    </row>
    <row r="4073">
      <c r="A4073" s="1" t="str">
        <f>IFERROR(__xludf.DUMMYFUNCTION("""COMPUTED_VALUE"""),"VERX")</f>
        <v>VERX</v>
      </c>
    </row>
    <row r="4074">
      <c r="A4074" s="1" t="str">
        <f>IFERROR(__xludf.DUMMYFUNCTION("""COMPUTED_VALUE"""),"VERY")</f>
        <v>VERY</v>
      </c>
    </row>
    <row r="4075">
      <c r="A4075" s="1" t="str">
        <f>IFERROR(__xludf.DUMMYFUNCTION("""COMPUTED_VALUE"""),"VEV")</f>
        <v>VEV</v>
      </c>
    </row>
    <row r="4076">
      <c r="A4076" s="1" t="str">
        <f>IFERROR(__xludf.DUMMYFUNCTION("""COMPUTED_VALUE"""),"VFF")</f>
        <v>VFF</v>
      </c>
    </row>
    <row r="4077">
      <c r="A4077" s="1" t="str">
        <f>IFERROR(__xludf.DUMMYFUNCTION("""COMPUTED_VALUE"""),"VG")</f>
        <v>VG</v>
      </c>
    </row>
    <row r="4078">
      <c r="A4078" s="1" t="str">
        <f>IFERROR(__xludf.DUMMYFUNCTION("""COMPUTED_VALUE"""),"VIAC")</f>
        <v>VIAC</v>
      </c>
    </row>
    <row r="4079">
      <c r="A4079" s="1" t="str">
        <f>IFERROR(__xludf.DUMMYFUNCTION("""COMPUTED_VALUE"""),"VIACA")</f>
        <v>VIACA</v>
      </c>
    </row>
    <row r="4080">
      <c r="A4080" s="1" t="str">
        <f>IFERROR(__xludf.DUMMYFUNCTION("""COMPUTED_VALUE"""),"VIACP")</f>
        <v>VIACP</v>
      </c>
    </row>
    <row r="4081">
      <c r="A4081" s="1" t="str">
        <f>IFERROR(__xludf.DUMMYFUNCTION("""COMPUTED_VALUE"""),"VIAV")</f>
        <v>VIAV</v>
      </c>
    </row>
    <row r="4082">
      <c r="A4082" s="1" t="str">
        <f>IFERROR(__xludf.DUMMYFUNCTION("""COMPUTED_VALUE"""),"VICR")</f>
        <v>VICR</v>
      </c>
    </row>
    <row r="4083">
      <c r="A4083" s="1" t="str">
        <f>IFERROR(__xludf.DUMMYFUNCTION("""COMPUTED_VALUE"""),"VIEW")</f>
        <v>VIEW</v>
      </c>
    </row>
    <row r="4084">
      <c r="A4084" s="1" t="str">
        <f>IFERROR(__xludf.DUMMYFUNCTION("""COMPUTED_VALUE"""),"VIEWW")</f>
        <v>VIEWW</v>
      </c>
    </row>
    <row r="4085">
      <c r="A4085" s="1" t="str">
        <f>IFERROR(__xludf.DUMMYFUNCTION("""COMPUTED_VALUE"""),"VIH")</f>
        <v>VIH</v>
      </c>
    </row>
    <row r="4086">
      <c r="A4086" s="1" t="str">
        <f>IFERROR(__xludf.DUMMYFUNCTION("""COMPUTED_VALUE"""),"VIHAW")</f>
        <v>VIHAW</v>
      </c>
    </row>
    <row r="4087">
      <c r="A4087" s="1" t="str">
        <f>IFERROR(__xludf.DUMMYFUNCTION("""COMPUTED_VALUE"""),"VII")</f>
        <v>VII</v>
      </c>
    </row>
    <row r="4088">
      <c r="A4088" s="1" t="str">
        <f>IFERROR(__xludf.DUMMYFUNCTION("""COMPUTED_VALUE"""),"VIIAU")</f>
        <v>VIIAU</v>
      </c>
    </row>
    <row r="4089">
      <c r="A4089" s="1" t="str">
        <f>IFERROR(__xludf.DUMMYFUNCTION("""COMPUTED_VALUE"""),"VIIAW")</f>
        <v>VIIAW</v>
      </c>
    </row>
    <row r="4090">
      <c r="A4090" s="1" t="str">
        <f>IFERROR(__xludf.DUMMYFUNCTION("""COMPUTED_VALUE"""),"VINC")</f>
        <v>VINC</v>
      </c>
    </row>
    <row r="4091">
      <c r="A4091" s="1" t="str">
        <f>IFERROR(__xludf.DUMMYFUNCTION("""COMPUTED_VALUE"""),"VINO")</f>
        <v>VINO</v>
      </c>
    </row>
    <row r="4092">
      <c r="A4092" s="1" t="str">
        <f>IFERROR(__xludf.DUMMYFUNCTION("""COMPUTED_VALUE"""),"VINP")</f>
        <v>VINP</v>
      </c>
    </row>
    <row r="4093">
      <c r="A4093" s="1" t="str">
        <f>IFERROR(__xludf.DUMMYFUNCTION("""COMPUTED_VALUE"""),"VIOT")</f>
        <v>VIOT</v>
      </c>
    </row>
    <row r="4094">
      <c r="A4094" s="1" t="str">
        <f>IFERROR(__xludf.DUMMYFUNCTION("""COMPUTED_VALUE"""),"VIR")</f>
        <v>VIR</v>
      </c>
    </row>
    <row r="4095">
      <c r="A4095" s="1" t="str">
        <f>IFERROR(__xludf.DUMMYFUNCTION("""COMPUTED_VALUE"""),"VIRC")</f>
        <v>VIRC</v>
      </c>
    </row>
    <row r="4096">
      <c r="A4096" s="1" t="str">
        <f>IFERROR(__xludf.DUMMYFUNCTION("""COMPUTED_VALUE"""),"VIRI")</f>
        <v>VIRI</v>
      </c>
    </row>
    <row r="4097">
      <c r="A4097" s="1" t="str">
        <f>IFERROR(__xludf.DUMMYFUNCTION("""COMPUTED_VALUE"""),"VIRT")</f>
        <v>VIRT</v>
      </c>
    </row>
    <row r="4098">
      <c r="A4098" s="1" t="str">
        <f>IFERROR(__xludf.DUMMYFUNCTION("""COMPUTED_VALUE"""),"VIRX")</f>
        <v>VIRX</v>
      </c>
    </row>
    <row r="4099">
      <c r="A4099" s="1" t="str">
        <f>IFERROR(__xludf.DUMMYFUNCTION("""COMPUTED_VALUE"""),"VISL")</f>
        <v>VISL</v>
      </c>
    </row>
    <row r="4100">
      <c r="A4100" s="1" t="str">
        <f>IFERROR(__xludf.DUMMYFUNCTION("""COMPUTED_VALUE"""),"VITL")</f>
        <v>VITL</v>
      </c>
    </row>
    <row r="4101">
      <c r="A4101" s="1" t="str">
        <f>IFERROR(__xludf.DUMMYFUNCTION("""COMPUTED_VALUE"""),"VIVE")</f>
        <v>VIVE</v>
      </c>
    </row>
    <row r="4102">
      <c r="A4102" s="1" t="str">
        <f>IFERROR(__xludf.DUMMYFUNCTION("""COMPUTED_VALUE"""),"VIVO")</f>
        <v>VIVO</v>
      </c>
    </row>
    <row r="4103">
      <c r="A4103" s="1" t="str">
        <f>IFERROR(__xludf.DUMMYFUNCTION("""COMPUTED_VALUE"""),"VJET")</f>
        <v>VJET</v>
      </c>
    </row>
    <row r="4104">
      <c r="A4104" s="1" t="str">
        <f>IFERROR(__xludf.DUMMYFUNCTION("""COMPUTED_VALUE"""),"VKTX")</f>
        <v>VKTX</v>
      </c>
    </row>
    <row r="4105">
      <c r="A4105" s="1" t="str">
        <f>IFERROR(__xludf.DUMMYFUNCTION("""COMPUTED_VALUE"""),"VLATU")</f>
        <v>VLATU</v>
      </c>
    </row>
    <row r="4106">
      <c r="A4106" s="1" t="str">
        <f>IFERROR(__xludf.DUMMYFUNCTION("""COMPUTED_VALUE"""),"VLDR")</f>
        <v>VLDR</v>
      </c>
    </row>
    <row r="4107">
      <c r="A4107" s="1" t="str">
        <f>IFERROR(__xludf.DUMMYFUNCTION("""COMPUTED_VALUE"""),"VLDRW")</f>
        <v>VLDRW</v>
      </c>
    </row>
    <row r="4108">
      <c r="A4108" s="1" t="str">
        <f>IFERROR(__xludf.DUMMYFUNCTION("""COMPUTED_VALUE"""),"VLGEA")</f>
        <v>VLGEA</v>
      </c>
    </row>
    <row r="4109">
      <c r="A4109" s="1" t="str">
        <f>IFERROR(__xludf.DUMMYFUNCTION("""COMPUTED_VALUE"""),"VLON")</f>
        <v>VLON</v>
      </c>
    </row>
    <row r="4110">
      <c r="A4110" s="1" t="str">
        <f>IFERROR(__xludf.DUMMYFUNCTION("""COMPUTED_VALUE"""),"VLY")</f>
        <v>VLY</v>
      </c>
    </row>
    <row r="4111">
      <c r="A4111" s="1" t="str">
        <f>IFERROR(__xludf.DUMMYFUNCTION("""COMPUTED_VALUE"""),"VLYPO")</f>
        <v>VLYPO</v>
      </c>
    </row>
    <row r="4112">
      <c r="A4112" s="1" t="str">
        <f>IFERROR(__xludf.DUMMYFUNCTION("""COMPUTED_VALUE"""),"VLYPP")</f>
        <v>VLYPP</v>
      </c>
    </row>
    <row r="4113">
      <c r="A4113" s="1" t="str">
        <f>IFERROR(__xludf.DUMMYFUNCTION("""COMPUTED_VALUE"""),"VMAC")</f>
        <v>VMAC</v>
      </c>
    </row>
    <row r="4114">
      <c r="A4114" s="1" t="str">
        <f>IFERROR(__xludf.DUMMYFUNCTION("""COMPUTED_VALUE"""),"VMACW")</f>
        <v>VMACW</v>
      </c>
    </row>
    <row r="4115">
      <c r="A4115" s="1" t="str">
        <f>IFERROR(__xludf.DUMMYFUNCTION("""COMPUTED_VALUE"""),"VMAR")</f>
        <v>VMAR</v>
      </c>
    </row>
    <row r="4116">
      <c r="A4116" s="1" t="str">
        <f>IFERROR(__xludf.DUMMYFUNCTION("""COMPUTED_VALUE"""),"VMD")</f>
        <v>VMD</v>
      </c>
    </row>
    <row r="4117">
      <c r="A4117" s="1" t="str">
        <f>IFERROR(__xludf.DUMMYFUNCTION("""COMPUTED_VALUE"""),"VMEO")</f>
        <v>VMEO</v>
      </c>
    </row>
    <row r="4118">
      <c r="A4118" s="1" t="str">
        <f>IFERROR(__xludf.DUMMYFUNCTION("""COMPUTED_VALUE"""),"VNDA")</f>
        <v>VNDA</v>
      </c>
    </row>
    <row r="4119">
      <c r="A4119" s="1" t="str">
        <f>IFERROR(__xludf.DUMMYFUNCTION("""COMPUTED_VALUE"""),"VNET")</f>
        <v>VNET</v>
      </c>
    </row>
    <row r="4120">
      <c r="A4120" s="1" t="str">
        <f>IFERROR(__xludf.DUMMYFUNCTION("""COMPUTED_VALUE"""),"VNOM")</f>
        <v>VNOM</v>
      </c>
    </row>
    <row r="4121">
      <c r="A4121" s="1" t="str">
        <f>IFERROR(__xludf.DUMMYFUNCTION("""COMPUTED_VALUE"""),"VOD")</f>
        <v>VOD</v>
      </c>
    </row>
    <row r="4122">
      <c r="A4122" s="1" t="str">
        <f>IFERROR(__xludf.DUMMYFUNCTION("""COMPUTED_VALUE"""),"VOR")</f>
        <v>VOR</v>
      </c>
    </row>
    <row r="4123">
      <c r="A4123" s="1" t="str">
        <f>IFERROR(__xludf.DUMMYFUNCTION("""COMPUTED_VALUE"""),"VOSO")</f>
        <v>VOSO</v>
      </c>
    </row>
    <row r="4124">
      <c r="A4124" s="1" t="str">
        <f>IFERROR(__xludf.DUMMYFUNCTION("""COMPUTED_VALUE"""),"VOSOU")</f>
        <v>VOSOU</v>
      </c>
    </row>
    <row r="4125">
      <c r="A4125" s="1" t="str">
        <f>IFERROR(__xludf.DUMMYFUNCTION("""COMPUTED_VALUE"""),"VOSOW")</f>
        <v>VOSOW</v>
      </c>
    </row>
    <row r="4126">
      <c r="A4126" s="1" t="str">
        <f>IFERROR(__xludf.DUMMYFUNCTION("""COMPUTED_VALUE"""),"VOXX")</f>
        <v>VOXX</v>
      </c>
    </row>
    <row r="4127">
      <c r="A4127" s="1" t="str">
        <f>IFERROR(__xludf.DUMMYFUNCTION("""COMPUTED_VALUE"""),"VPCB")</f>
        <v>VPCB</v>
      </c>
    </row>
    <row r="4128">
      <c r="A4128" s="1" t="str">
        <f>IFERROR(__xludf.DUMMYFUNCTION("""COMPUTED_VALUE"""),"VPCBU")</f>
        <v>VPCBU</v>
      </c>
    </row>
    <row r="4129">
      <c r="A4129" s="1" t="str">
        <f>IFERROR(__xludf.DUMMYFUNCTION("""COMPUTED_VALUE"""),"VPCBW")</f>
        <v>VPCBW</v>
      </c>
    </row>
    <row r="4130">
      <c r="A4130" s="1" t="str">
        <f>IFERROR(__xludf.DUMMYFUNCTION("""COMPUTED_VALUE"""),"VRA")</f>
        <v>VRA</v>
      </c>
    </row>
    <row r="4131">
      <c r="A4131" s="1" t="str">
        <f>IFERROR(__xludf.DUMMYFUNCTION("""COMPUTED_VALUE"""),"VRAR")</f>
        <v>VRAR</v>
      </c>
    </row>
    <row r="4132">
      <c r="A4132" s="1" t="str">
        <f>IFERROR(__xludf.DUMMYFUNCTION("""COMPUTED_VALUE"""),"VRAY")</f>
        <v>VRAY</v>
      </c>
    </row>
    <row r="4133">
      <c r="A4133" s="1" t="str">
        <f>IFERROR(__xludf.DUMMYFUNCTION("""COMPUTED_VALUE"""),"VRCA")</f>
        <v>VRCA</v>
      </c>
    </row>
    <row r="4134">
      <c r="A4134" s="1" t="str">
        <f>IFERROR(__xludf.DUMMYFUNCTION("""COMPUTED_VALUE"""),"VRDN")</f>
        <v>VRDN</v>
      </c>
    </row>
    <row r="4135">
      <c r="A4135" s="1" t="str">
        <f>IFERROR(__xludf.DUMMYFUNCTION("""COMPUTED_VALUE"""),"VREX")</f>
        <v>VREX</v>
      </c>
    </row>
    <row r="4136">
      <c r="A4136" s="1" t="str">
        <f>IFERROR(__xludf.DUMMYFUNCTION("""COMPUTED_VALUE"""),"VRM")</f>
        <v>VRM</v>
      </c>
    </row>
    <row r="4137">
      <c r="A4137" s="1" t="str">
        <f>IFERROR(__xludf.DUMMYFUNCTION("""COMPUTED_VALUE"""),"VRME")</f>
        <v>VRME</v>
      </c>
    </row>
    <row r="4138">
      <c r="A4138" s="1" t="str">
        <f>IFERROR(__xludf.DUMMYFUNCTION("""COMPUTED_VALUE"""),"VRMEW")</f>
        <v>VRMEW</v>
      </c>
    </row>
    <row r="4139">
      <c r="A4139" s="1" t="str">
        <f>IFERROR(__xludf.DUMMYFUNCTION("""COMPUTED_VALUE"""),"VRNA")</f>
        <v>VRNA</v>
      </c>
    </row>
    <row r="4140">
      <c r="A4140" s="1" t="str">
        <f>IFERROR(__xludf.DUMMYFUNCTION("""COMPUTED_VALUE"""),"VRNS")</f>
        <v>VRNS</v>
      </c>
    </row>
    <row r="4141">
      <c r="A4141" s="1" t="str">
        <f>IFERROR(__xludf.DUMMYFUNCTION("""COMPUTED_VALUE"""),"VRNT")</f>
        <v>VRNT</v>
      </c>
    </row>
    <row r="4142">
      <c r="A4142" s="1" t="str">
        <f>IFERROR(__xludf.DUMMYFUNCTION("""COMPUTED_VALUE"""),"VRPX")</f>
        <v>VRPX</v>
      </c>
    </row>
    <row r="4143">
      <c r="A4143" s="1" t="str">
        <f>IFERROR(__xludf.DUMMYFUNCTION("""COMPUTED_VALUE"""),"VRRM")</f>
        <v>VRRM</v>
      </c>
    </row>
    <row r="4144">
      <c r="A4144" s="1" t="str">
        <f>IFERROR(__xludf.DUMMYFUNCTION("""COMPUTED_VALUE"""),"VRSK")</f>
        <v>VRSK</v>
      </c>
    </row>
    <row r="4145">
      <c r="A4145" s="1" t="str">
        <f>IFERROR(__xludf.DUMMYFUNCTION("""COMPUTED_VALUE"""),"VRSN")</f>
        <v>VRSN</v>
      </c>
    </row>
    <row r="4146">
      <c r="A4146" s="1" t="str">
        <f>IFERROR(__xludf.DUMMYFUNCTION("""COMPUTED_VALUE"""),"VRTS")</f>
        <v>VRTS</v>
      </c>
    </row>
    <row r="4147">
      <c r="A4147" s="1" t="str">
        <f>IFERROR(__xludf.DUMMYFUNCTION("""COMPUTED_VALUE"""),"VRTX")</f>
        <v>VRTX</v>
      </c>
    </row>
    <row r="4148">
      <c r="A4148" s="1" t="str">
        <f>IFERROR(__xludf.DUMMYFUNCTION("""COMPUTED_VALUE"""),"VS")</f>
        <v>VS</v>
      </c>
    </row>
    <row r="4149">
      <c r="A4149" s="1" t="str">
        <f>IFERROR(__xludf.DUMMYFUNCTION("""COMPUTED_VALUE"""),"VSAT")</f>
        <v>VSAT</v>
      </c>
    </row>
    <row r="4150">
      <c r="A4150" s="1" t="str">
        <f>IFERROR(__xludf.DUMMYFUNCTION("""COMPUTED_VALUE"""),"VSEC")</f>
        <v>VSEC</v>
      </c>
    </row>
    <row r="4151">
      <c r="A4151" s="1" t="str">
        <f>IFERROR(__xludf.DUMMYFUNCTION("""COMPUTED_VALUE"""),"VSSYW")</f>
        <v>VSSYW</v>
      </c>
    </row>
    <row r="4152">
      <c r="A4152" s="1" t="str">
        <f>IFERROR(__xludf.DUMMYFUNCTION("""COMPUTED_VALUE"""),"VSTA")</f>
        <v>VSTA</v>
      </c>
    </row>
    <row r="4153">
      <c r="A4153" s="1" t="str">
        <f>IFERROR(__xludf.DUMMYFUNCTION("""COMPUTED_VALUE"""),"VSTM")</f>
        <v>VSTM</v>
      </c>
    </row>
    <row r="4154">
      <c r="A4154" s="1" t="str">
        <f>IFERROR(__xludf.DUMMYFUNCTION("""COMPUTED_VALUE"""),"VTAQ")</f>
        <v>VTAQ</v>
      </c>
    </row>
    <row r="4155">
      <c r="A4155" s="1" t="str">
        <f>IFERROR(__xludf.DUMMYFUNCTION("""COMPUTED_VALUE"""),"VTAQR")</f>
        <v>VTAQR</v>
      </c>
    </row>
    <row r="4156">
      <c r="A4156" s="1" t="str">
        <f>IFERROR(__xludf.DUMMYFUNCTION("""COMPUTED_VALUE"""),"VTAQU")</f>
        <v>VTAQU</v>
      </c>
    </row>
    <row r="4157">
      <c r="A4157" s="1" t="str">
        <f>IFERROR(__xludf.DUMMYFUNCTION("""COMPUTED_VALUE"""),"VTAQW")</f>
        <v>VTAQW</v>
      </c>
    </row>
    <row r="4158">
      <c r="A4158" s="1" t="str">
        <f>IFERROR(__xludf.DUMMYFUNCTION("""COMPUTED_VALUE"""),"VTGN")</f>
        <v>VTGN</v>
      </c>
    </row>
    <row r="4159">
      <c r="A4159" s="1" t="str">
        <f>IFERROR(__xludf.DUMMYFUNCTION("""COMPUTED_VALUE"""),"VTIQ")</f>
        <v>VTIQ</v>
      </c>
    </row>
    <row r="4160">
      <c r="A4160" s="1" t="str">
        <f>IFERROR(__xludf.DUMMYFUNCTION("""COMPUTED_VALUE"""),"VTIQU")</f>
        <v>VTIQU</v>
      </c>
    </row>
    <row r="4161">
      <c r="A4161" s="1" t="str">
        <f>IFERROR(__xludf.DUMMYFUNCTION("""COMPUTED_VALUE"""),"VTIQW")</f>
        <v>VTIQW</v>
      </c>
    </row>
    <row r="4162">
      <c r="A4162" s="1" t="str">
        <f>IFERROR(__xludf.DUMMYFUNCTION("""COMPUTED_VALUE"""),"VTNR")</f>
        <v>VTNR</v>
      </c>
    </row>
    <row r="4163">
      <c r="A4163" s="1" t="str">
        <f>IFERROR(__xludf.DUMMYFUNCTION("""COMPUTED_VALUE"""),"VTRS")</f>
        <v>VTRS</v>
      </c>
    </row>
    <row r="4164">
      <c r="A4164" s="1" t="str">
        <f>IFERROR(__xludf.DUMMYFUNCTION("""COMPUTED_VALUE"""),"VTRU")</f>
        <v>VTRU</v>
      </c>
    </row>
    <row r="4165">
      <c r="A4165" s="1" t="str">
        <f>IFERROR(__xludf.DUMMYFUNCTION("""COMPUTED_VALUE"""),"VTSI")</f>
        <v>VTSI</v>
      </c>
    </row>
    <row r="4166">
      <c r="A4166" s="1" t="str">
        <f>IFERROR(__xludf.DUMMYFUNCTION("""COMPUTED_VALUE"""),"VTVT")</f>
        <v>VTVT</v>
      </c>
    </row>
    <row r="4167">
      <c r="A4167" s="1" t="str">
        <f>IFERROR(__xludf.DUMMYFUNCTION("""COMPUTED_VALUE"""),"VUZI")</f>
        <v>VUZI</v>
      </c>
    </row>
    <row r="4168">
      <c r="A4168" s="1" t="str">
        <f>IFERROR(__xludf.DUMMYFUNCTION("""COMPUTED_VALUE"""),"VVOS")</f>
        <v>VVOS</v>
      </c>
    </row>
    <row r="4169">
      <c r="A4169" s="1" t="str">
        <f>IFERROR(__xludf.DUMMYFUNCTION("""COMPUTED_VALUE"""),"VVPR")</f>
        <v>VVPR</v>
      </c>
    </row>
    <row r="4170">
      <c r="A4170" s="1" t="str">
        <f>IFERROR(__xludf.DUMMYFUNCTION("""COMPUTED_VALUE"""),"VWE")</f>
        <v>VWE</v>
      </c>
    </row>
    <row r="4171">
      <c r="A4171" s="1" t="str">
        <f>IFERROR(__xludf.DUMMYFUNCTION("""COMPUTED_VALUE"""),"VWTR")</f>
        <v>VWTR</v>
      </c>
    </row>
    <row r="4172">
      <c r="A4172" s="1" t="str">
        <f>IFERROR(__xludf.DUMMYFUNCTION("""COMPUTED_VALUE"""),"VXRT")</f>
        <v>VXRT</v>
      </c>
    </row>
    <row r="4173">
      <c r="A4173" s="1" t="str">
        <f>IFERROR(__xludf.DUMMYFUNCTION("""COMPUTED_VALUE"""),"VYGR")</f>
        <v>VYGR</v>
      </c>
    </row>
    <row r="4174">
      <c r="A4174" s="1" t="str">
        <f>IFERROR(__xludf.DUMMYFUNCTION("""COMPUTED_VALUE"""),"VYNE")</f>
        <v>VYNE</v>
      </c>
    </row>
    <row r="4175">
      <c r="A4175" s="1" t="str">
        <f>IFERROR(__xludf.DUMMYFUNCTION("""COMPUTED_VALUE"""),"VYNT")</f>
        <v>VYNT</v>
      </c>
    </row>
    <row r="4176">
      <c r="A4176" s="1" t="str">
        <f>IFERROR(__xludf.DUMMYFUNCTION("""COMPUTED_VALUE"""),"WABC")</f>
        <v>WABC</v>
      </c>
    </row>
    <row r="4177">
      <c r="A4177" s="1" t="str">
        <f>IFERROR(__xludf.DUMMYFUNCTION("""COMPUTED_VALUE"""),"WAFD")</f>
        <v>WAFD</v>
      </c>
    </row>
    <row r="4178">
      <c r="A4178" s="1" t="str">
        <f>IFERROR(__xludf.DUMMYFUNCTION("""COMPUTED_VALUE"""),"WAFDP")</f>
        <v>WAFDP</v>
      </c>
    </row>
    <row r="4179">
      <c r="A4179" s="1" t="str">
        <f>IFERROR(__xludf.DUMMYFUNCTION("""COMPUTED_VALUE"""),"WAFU")</f>
        <v>WAFU</v>
      </c>
    </row>
    <row r="4180">
      <c r="A4180" s="1" t="str">
        <f>IFERROR(__xludf.DUMMYFUNCTION("""COMPUTED_VALUE"""),"WALD")</f>
        <v>WALD</v>
      </c>
    </row>
    <row r="4181">
      <c r="A4181" s="1" t="str">
        <f>IFERROR(__xludf.DUMMYFUNCTION("""COMPUTED_VALUE"""),"WALDU")</f>
        <v>WALDU</v>
      </c>
    </row>
    <row r="4182">
      <c r="A4182" s="1" t="str">
        <f>IFERROR(__xludf.DUMMYFUNCTION("""COMPUTED_VALUE"""),"WALDW")</f>
        <v>WALDW</v>
      </c>
    </row>
    <row r="4183">
      <c r="A4183" s="1" t="str">
        <f>IFERROR(__xludf.DUMMYFUNCTION("""COMPUTED_VALUE"""),"WASH")</f>
        <v>WASH</v>
      </c>
    </row>
    <row r="4184">
      <c r="A4184" s="1" t="str">
        <f>IFERROR(__xludf.DUMMYFUNCTION("""COMPUTED_VALUE"""),"WATT")</f>
        <v>WATT</v>
      </c>
    </row>
    <row r="4185">
      <c r="A4185" s="1" t="str">
        <f>IFERROR(__xludf.DUMMYFUNCTION("""COMPUTED_VALUE"""),"WAVE")</f>
        <v>WAVE</v>
      </c>
    </row>
    <row r="4186">
      <c r="A4186" s="1" t="str">
        <f>IFERROR(__xludf.DUMMYFUNCTION("""COMPUTED_VALUE"""),"WB")</f>
        <v>WB</v>
      </c>
    </row>
    <row r="4187">
      <c r="A4187" s="1" t="str">
        <f>IFERROR(__xludf.DUMMYFUNCTION("""COMPUTED_VALUE"""),"WBA")</f>
        <v>WBA</v>
      </c>
    </row>
    <row r="4188">
      <c r="A4188" s="1" t="str">
        <f>IFERROR(__xludf.DUMMYFUNCTION("""COMPUTED_VALUE"""),"WDAY")</f>
        <v>WDAY</v>
      </c>
    </row>
    <row r="4189">
      <c r="A4189" s="1" t="str">
        <f>IFERROR(__xludf.DUMMYFUNCTION("""COMPUTED_VALUE"""),"WDC")</f>
        <v>WDC</v>
      </c>
    </row>
    <row r="4190">
      <c r="A4190" s="1" t="str">
        <f>IFERROR(__xludf.DUMMYFUNCTION("""COMPUTED_VALUE"""),"WDFC")</f>
        <v>WDFC</v>
      </c>
    </row>
    <row r="4191">
      <c r="A4191" s="1" t="str">
        <f>IFERROR(__xludf.DUMMYFUNCTION("""COMPUTED_VALUE"""),"WEN")</f>
        <v>WEN</v>
      </c>
    </row>
    <row r="4192">
      <c r="A4192" s="1" t="str">
        <f>IFERROR(__xludf.DUMMYFUNCTION("""COMPUTED_VALUE"""),"WERN")</f>
        <v>WERN</v>
      </c>
    </row>
    <row r="4193">
      <c r="A4193" s="1" t="str">
        <f>IFERROR(__xludf.DUMMYFUNCTION("""COMPUTED_VALUE"""),"WETF")</f>
        <v>WETF</v>
      </c>
    </row>
    <row r="4194">
      <c r="A4194" s="1" t="str">
        <f>IFERROR(__xludf.DUMMYFUNCTION("""COMPUTED_VALUE"""),"WEYS")</f>
        <v>WEYS</v>
      </c>
    </row>
    <row r="4195">
      <c r="A4195" s="1" t="str">
        <f>IFERROR(__xludf.DUMMYFUNCTION("""COMPUTED_VALUE"""),"WFCF")</f>
        <v>WFCF</v>
      </c>
    </row>
    <row r="4196">
      <c r="A4196" s="1" t="str">
        <f>IFERROR(__xludf.DUMMYFUNCTION("""COMPUTED_VALUE"""),"WFRD")</f>
        <v>WFRD</v>
      </c>
    </row>
    <row r="4197">
      <c r="A4197" s="1" t="str">
        <f>IFERROR(__xludf.DUMMYFUNCTION("""COMPUTED_VALUE"""),"WHF")</f>
        <v>WHF</v>
      </c>
    </row>
    <row r="4198">
      <c r="A4198" s="1" t="str">
        <f>IFERROR(__xludf.DUMMYFUNCTION("""COMPUTED_VALUE"""),"WHFBZ")</f>
        <v>WHFBZ</v>
      </c>
    </row>
    <row r="4199">
      <c r="A4199" s="1" t="str">
        <f>IFERROR(__xludf.DUMMYFUNCTION("""COMPUTED_VALUE"""),"WHLM")</f>
        <v>WHLM</v>
      </c>
    </row>
    <row r="4200">
      <c r="A4200" s="1" t="str">
        <f>IFERROR(__xludf.DUMMYFUNCTION("""COMPUTED_VALUE"""),"WHLR")</f>
        <v>WHLR</v>
      </c>
    </row>
    <row r="4201">
      <c r="A4201" s="1" t="str">
        <f>IFERROR(__xludf.DUMMYFUNCTION("""COMPUTED_VALUE"""),"WHLRD")</f>
        <v>WHLRD</v>
      </c>
    </row>
    <row r="4202">
      <c r="A4202" s="1" t="str">
        <f>IFERROR(__xludf.DUMMYFUNCTION("""COMPUTED_VALUE"""),"WHLRP")</f>
        <v>WHLRP</v>
      </c>
    </row>
    <row r="4203">
      <c r="A4203" s="1" t="str">
        <f>IFERROR(__xludf.DUMMYFUNCTION("""COMPUTED_VALUE"""),"WILC")</f>
        <v>WILC</v>
      </c>
    </row>
    <row r="4204">
      <c r="A4204" s="1" t="str">
        <f>IFERROR(__xludf.DUMMYFUNCTION("""COMPUTED_VALUE"""),"WIMI")</f>
        <v>WIMI</v>
      </c>
    </row>
    <row r="4205">
      <c r="A4205" s="1" t="str">
        <f>IFERROR(__xludf.DUMMYFUNCTION("""COMPUTED_VALUE"""),"WINA")</f>
        <v>WINA</v>
      </c>
    </row>
    <row r="4206">
      <c r="A4206" s="1" t="str">
        <f>IFERROR(__xludf.DUMMYFUNCTION("""COMPUTED_VALUE"""),"WING")</f>
        <v>WING</v>
      </c>
    </row>
    <row r="4207">
      <c r="A4207" s="1" t="str">
        <f>IFERROR(__xludf.DUMMYFUNCTION("""COMPUTED_VALUE"""),"WINT")</f>
        <v>WINT</v>
      </c>
    </row>
    <row r="4208">
      <c r="A4208" s="1" t="str">
        <f>IFERROR(__xludf.DUMMYFUNCTION("""COMPUTED_VALUE"""),"WIRE")</f>
        <v>WIRE</v>
      </c>
    </row>
    <row r="4209">
      <c r="A4209" s="1" t="str">
        <f>IFERROR(__xludf.DUMMYFUNCTION("""COMPUTED_VALUE"""),"WISA")</f>
        <v>WISA</v>
      </c>
    </row>
    <row r="4210">
      <c r="A4210" s="1" t="str">
        <f>IFERROR(__xludf.DUMMYFUNCTION("""COMPUTED_VALUE"""),"WISH")</f>
        <v>WISH</v>
      </c>
    </row>
    <row r="4211">
      <c r="A4211" s="1" t="str">
        <f>IFERROR(__xludf.DUMMYFUNCTION("""COMPUTED_VALUE"""),"WIX")</f>
        <v>WIX</v>
      </c>
    </row>
    <row r="4212">
      <c r="A4212" s="1" t="str">
        <f>IFERROR(__xludf.DUMMYFUNCTION("""COMPUTED_VALUE"""),"WKEY")</f>
        <v>WKEY</v>
      </c>
    </row>
    <row r="4213">
      <c r="A4213" s="1" t="str">
        <f>IFERROR(__xludf.DUMMYFUNCTION("""COMPUTED_VALUE"""),"WKHS")</f>
        <v>WKHS</v>
      </c>
    </row>
    <row r="4214">
      <c r="A4214" s="1" t="str">
        <f>IFERROR(__xludf.DUMMYFUNCTION("""COMPUTED_VALUE"""),"WKME")</f>
        <v>WKME</v>
      </c>
    </row>
    <row r="4215">
      <c r="A4215" s="1" t="str">
        <f>IFERROR(__xludf.DUMMYFUNCTION("""COMPUTED_VALUE"""),"WKSP")</f>
        <v>WKSP</v>
      </c>
    </row>
    <row r="4216">
      <c r="A4216" s="1" t="str">
        <f>IFERROR(__xludf.DUMMYFUNCTION("""COMPUTED_VALUE"""),"WKSPW")</f>
        <v>WKSPW</v>
      </c>
    </row>
    <row r="4217">
      <c r="A4217" s="1" t="str">
        <f>IFERROR(__xludf.DUMMYFUNCTION("""COMPUTED_VALUE"""),"WLDN")</f>
        <v>WLDN</v>
      </c>
    </row>
    <row r="4218">
      <c r="A4218" s="1" t="str">
        <f>IFERROR(__xludf.DUMMYFUNCTION("""COMPUTED_VALUE"""),"WLFC")</f>
        <v>WLFC</v>
      </c>
    </row>
    <row r="4219">
      <c r="A4219" s="1" t="str">
        <f>IFERROR(__xludf.DUMMYFUNCTION("""COMPUTED_VALUE"""),"WLTW")</f>
        <v>WLTW</v>
      </c>
    </row>
    <row r="4220">
      <c r="A4220" s="1" t="str">
        <f>IFERROR(__xludf.DUMMYFUNCTION("""COMPUTED_VALUE"""),"WMG")</f>
        <v>WMG</v>
      </c>
    </row>
    <row r="4221">
      <c r="A4221" s="1" t="str">
        <f>IFERROR(__xludf.DUMMYFUNCTION("""COMPUTED_VALUE"""),"WMPN")</f>
        <v>WMPN</v>
      </c>
    </row>
    <row r="4222">
      <c r="A4222" s="1" t="str">
        <f>IFERROR(__xludf.DUMMYFUNCTION("""COMPUTED_VALUE"""),"WNEB")</f>
        <v>WNEB</v>
      </c>
    </row>
    <row r="4223">
      <c r="A4223" s="1" t="str">
        <f>IFERROR(__xludf.DUMMYFUNCTION("""COMPUTED_VALUE"""),"WNW")</f>
        <v>WNW</v>
      </c>
    </row>
    <row r="4224">
      <c r="A4224" s="1" t="str">
        <f>IFERROR(__xludf.DUMMYFUNCTION("""COMPUTED_VALUE"""),"WOOF")</f>
        <v>WOOF</v>
      </c>
    </row>
    <row r="4225">
      <c r="A4225" s="1" t="str">
        <f>IFERROR(__xludf.DUMMYFUNCTION("""COMPUTED_VALUE"""),"WORX")</f>
        <v>WORX</v>
      </c>
    </row>
    <row r="4226">
      <c r="A4226" s="1" t="str">
        <f>IFERROR(__xludf.DUMMYFUNCTION("""COMPUTED_VALUE"""),"WPRT")</f>
        <v>WPRT</v>
      </c>
    </row>
    <row r="4227">
      <c r="A4227" s="1" t="str">
        <f>IFERROR(__xludf.DUMMYFUNCTION("""COMPUTED_VALUE"""),"WRAP")</f>
        <v>WRAP</v>
      </c>
    </row>
    <row r="4228">
      <c r="A4228" s="1" t="str">
        <f>IFERROR(__xludf.DUMMYFUNCTION("""COMPUTED_VALUE"""),"WRLD")</f>
        <v>WRLD</v>
      </c>
    </row>
    <row r="4229">
      <c r="A4229" s="1" t="str">
        <f>IFERROR(__xludf.DUMMYFUNCTION("""COMPUTED_VALUE"""),"WSBC")</f>
        <v>WSBC</v>
      </c>
    </row>
    <row r="4230">
      <c r="A4230" s="1" t="str">
        <f>IFERROR(__xludf.DUMMYFUNCTION("""COMPUTED_VALUE"""),"WSBCP")</f>
        <v>WSBCP</v>
      </c>
    </row>
    <row r="4231">
      <c r="A4231" s="1" t="str">
        <f>IFERROR(__xludf.DUMMYFUNCTION("""COMPUTED_VALUE"""),"WSBF")</f>
        <v>WSBF</v>
      </c>
    </row>
    <row r="4232">
      <c r="A4232" s="1" t="str">
        <f>IFERROR(__xludf.DUMMYFUNCTION("""COMPUTED_VALUE"""),"WSC")</f>
        <v>WSC</v>
      </c>
    </row>
    <row r="4233">
      <c r="A4233" s="1" t="str">
        <f>IFERROR(__xludf.DUMMYFUNCTION("""COMPUTED_VALUE"""),"WSFS")</f>
        <v>WSFS</v>
      </c>
    </row>
    <row r="4234">
      <c r="A4234" s="1" t="str">
        <f>IFERROR(__xludf.DUMMYFUNCTION("""COMPUTED_VALUE"""),"WSTG")</f>
        <v>WSTG</v>
      </c>
    </row>
    <row r="4235">
      <c r="A4235" s="1" t="str">
        <f>IFERROR(__xludf.DUMMYFUNCTION("""COMPUTED_VALUE"""),"WTBA")</f>
        <v>WTBA</v>
      </c>
    </row>
    <row r="4236">
      <c r="A4236" s="1" t="str">
        <f>IFERROR(__xludf.DUMMYFUNCTION("""COMPUTED_VALUE"""),"WTER")</f>
        <v>WTER</v>
      </c>
    </row>
    <row r="4237">
      <c r="A4237" s="1" t="str">
        <f>IFERROR(__xludf.DUMMYFUNCTION("""COMPUTED_VALUE"""),"WTFC")</f>
        <v>WTFC</v>
      </c>
    </row>
    <row r="4238">
      <c r="A4238" s="1" t="str">
        <f>IFERROR(__xludf.DUMMYFUNCTION("""COMPUTED_VALUE"""),"WTFCM")</f>
        <v>WTFCM</v>
      </c>
    </row>
    <row r="4239">
      <c r="A4239" s="1" t="str">
        <f>IFERROR(__xludf.DUMMYFUNCTION("""COMPUTED_VALUE"""),"WTFCP")</f>
        <v>WTFCP</v>
      </c>
    </row>
    <row r="4240">
      <c r="A4240" s="1" t="str">
        <f>IFERROR(__xludf.DUMMYFUNCTION("""COMPUTED_VALUE"""),"WTRH")</f>
        <v>WTRH</v>
      </c>
    </row>
    <row r="4241">
      <c r="A4241" s="1" t="str">
        <f>IFERROR(__xludf.DUMMYFUNCTION("""COMPUTED_VALUE"""),"WVE")</f>
        <v>WVE</v>
      </c>
    </row>
    <row r="4242">
      <c r="A4242" s="1" t="str">
        <f>IFERROR(__xludf.DUMMYFUNCTION("""COMPUTED_VALUE"""),"WVFC")</f>
        <v>WVFC</v>
      </c>
    </row>
    <row r="4243">
      <c r="A4243" s="1" t="str">
        <f>IFERROR(__xludf.DUMMYFUNCTION("""COMPUTED_VALUE"""),"WVVI")</f>
        <v>WVVI</v>
      </c>
    </row>
    <row r="4244">
      <c r="A4244" s="1" t="str">
        <f>IFERROR(__xludf.DUMMYFUNCTION("""COMPUTED_VALUE"""),"WVVIP")</f>
        <v>WVVIP</v>
      </c>
    </row>
    <row r="4245">
      <c r="A4245" s="1" t="str">
        <f>IFERROR(__xludf.DUMMYFUNCTION("""COMPUTED_VALUE"""),"WW")</f>
        <v>WW</v>
      </c>
    </row>
    <row r="4246">
      <c r="A4246" s="1" t="str">
        <f>IFERROR(__xludf.DUMMYFUNCTION("""COMPUTED_VALUE"""),"WWD")</f>
        <v>WWD</v>
      </c>
    </row>
    <row r="4247">
      <c r="A4247" s="1" t="str">
        <f>IFERROR(__xludf.DUMMYFUNCTION("""COMPUTED_VALUE"""),"WYNN")</f>
        <v>WYNN</v>
      </c>
    </row>
    <row r="4248">
      <c r="A4248" s="1" t="str">
        <f>IFERROR(__xludf.DUMMYFUNCTION("""COMPUTED_VALUE"""),"XAIR")</f>
        <v>XAIR</v>
      </c>
    </row>
    <row r="4249">
      <c r="A4249" s="1" t="str">
        <f>IFERROR(__xludf.DUMMYFUNCTION("""COMPUTED_VALUE"""),"XBIO")</f>
        <v>XBIO</v>
      </c>
    </row>
    <row r="4250">
      <c r="A4250" s="1" t="str">
        <f>IFERROR(__xludf.DUMMYFUNCTION("""COMPUTED_VALUE"""),"XBIOW")</f>
        <v>XBIOW</v>
      </c>
    </row>
    <row r="4251">
      <c r="A4251" s="1" t="str">
        <f>IFERROR(__xludf.DUMMYFUNCTION("""COMPUTED_VALUE"""),"XBIT")</f>
        <v>XBIT</v>
      </c>
    </row>
    <row r="4252">
      <c r="A4252" s="1" t="str">
        <f>IFERROR(__xludf.DUMMYFUNCTION("""COMPUTED_VALUE"""),"XCUR")</f>
        <v>XCUR</v>
      </c>
    </row>
    <row r="4253">
      <c r="A4253" s="1" t="str">
        <f>IFERROR(__xludf.DUMMYFUNCTION("""COMPUTED_VALUE"""),"XEL")</f>
        <v>XEL</v>
      </c>
    </row>
    <row r="4254">
      <c r="A4254" s="1" t="str">
        <f>IFERROR(__xludf.DUMMYFUNCTION("""COMPUTED_VALUE"""),"XELA")</f>
        <v>XELA</v>
      </c>
    </row>
    <row r="4255">
      <c r="A4255" s="1" t="str">
        <f>IFERROR(__xludf.DUMMYFUNCTION("""COMPUTED_VALUE"""),"XELB")</f>
        <v>XELB</v>
      </c>
    </row>
    <row r="4256">
      <c r="A4256" s="1" t="str">
        <f>IFERROR(__xludf.DUMMYFUNCTION("""COMPUTED_VALUE"""),"XENE")</f>
        <v>XENE</v>
      </c>
    </row>
    <row r="4257">
      <c r="A4257" s="1" t="str">
        <f>IFERROR(__xludf.DUMMYFUNCTION("""COMPUTED_VALUE"""),"XENT")</f>
        <v>XENT</v>
      </c>
    </row>
    <row r="4258">
      <c r="A4258" s="1" t="str">
        <f>IFERROR(__xludf.DUMMYFUNCTION("""COMPUTED_VALUE"""),"XERS")</f>
        <v>XERS</v>
      </c>
    </row>
    <row r="4259">
      <c r="A4259" s="1" t="str">
        <f>IFERROR(__xludf.DUMMYFUNCTION("""COMPUTED_VALUE"""),"XFOR")</f>
        <v>XFOR</v>
      </c>
    </row>
    <row r="4260">
      <c r="A4260" s="1" t="str">
        <f>IFERROR(__xludf.DUMMYFUNCTION("""COMPUTED_VALUE"""),"XGN")</f>
        <v>XGN</v>
      </c>
    </row>
    <row r="4261">
      <c r="A4261" s="1" t="str">
        <f>IFERROR(__xludf.DUMMYFUNCTION("""COMPUTED_VALUE"""),"XLNX")</f>
        <v>XLNX</v>
      </c>
    </row>
    <row r="4262">
      <c r="A4262" s="1" t="str">
        <f>IFERROR(__xludf.DUMMYFUNCTION("""COMPUTED_VALUE"""),"XLRN")</f>
        <v>XLRN</v>
      </c>
    </row>
    <row r="4263">
      <c r="A4263" s="1" t="str">
        <f>IFERROR(__xludf.DUMMYFUNCTION("""COMPUTED_VALUE"""),"XM")</f>
        <v>XM</v>
      </c>
    </row>
    <row r="4264">
      <c r="A4264" s="1" t="str">
        <f>IFERROR(__xludf.DUMMYFUNCTION("""COMPUTED_VALUE"""),"XMTR")</f>
        <v>XMTR</v>
      </c>
    </row>
    <row r="4265">
      <c r="A4265" s="1" t="str">
        <f>IFERROR(__xludf.DUMMYFUNCTION("""COMPUTED_VALUE"""),"XNCR")</f>
        <v>XNCR</v>
      </c>
    </row>
    <row r="4266">
      <c r="A4266" s="1" t="str">
        <f>IFERROR(__xludf.DUMMYFUNCTION("""COMPUTED_VALUE"""),"XNET")</f>
        <v>XNET</v>
      </c>
    </row>
    <row r="4267">
      <c r="A4267" s="1" t="str">
        <f>IFERROR(__xludf.DUMMYFUNCTION("""COMPUTED_VALUE"""),"XOG")</f>
        <v>XOG</v>
      </c>
    </row>
    <row r="4268">
      <c r="A4268" s="1" t="str">
        <f>IFERROR(__xludf.DUMMYFUNCTION("""COMPUTED_VALUE"""),"XOMA")</f>
        <v>XOMA</v>
      </c>
    </row>
    <row r="4269">
      <c r="A4269" s="1" t="str">
        <f>IFERROR(__xludf.DUMMYFUNCTION("""COMPUTED_VALUE"""),"XOMAO")</f>
        <v>XOMAO</v>
      </c>
    </row>
    <row r="4270">
      <c r="A4270" s="1" t="str">
        <f>IFERROR(__xludf.DUMMYFUNCTION("""COMPUTED_VALUE"""),"XOMAP")</f>
        <v>XOMAP</v>
      </c>
    </row>
    <row r="4271">
      <c r="A4271" s="1" t="str">
        <f>IFERROR(__xludf.DUMMYFUNCTION("""COMPUTED_VALUE"""),"XONE")</f>
        <v>XONE</v>
      </c>
    </row>
    <row r="4272">
      <c r="A4272" s="1" t="str">
        <f>IFERROR(__xludf.DUMMYFUNCTION("""COMPUTED_VALUE"""),"XP")</f>
        <v>XP</v>
      </c>
    </row>
    <row r="4273">
      <c r="A4273" s="1" t="str">
        <f>IFERROR(__xludf.DUMMYFUNCTION("""COMPUTED_VALUE"""),"XPAXU")</f>
        <v>XPAXU</v>
      </c>
    </row>
    <row r="4274">
      <c r="A4274" s="1" t="str">
        <f>IFERROR(__xludf.DUMMYFUNCTION("""COMPUTED_VALUE"""),"XPDI")</f>
        <v>XPDI</v>
      </c>
    </row>
    <row r="4275">
      <c r="A4275" s="1" t="str">
        <f>IFERROR(__xludf.DUMMYFUNCTION("""COMPUTED_VALUE"""),"XPDIU")</f>
        <v>XPDIU</v>
      </c>
    </row>
    <row r="4276">
      <c r="A4276" s="1" t="str">
        <f>IFERROR(__xludf.DUMMYFUNCTION("""COMPUTED_VALUE"""),"XPDIW")</f>
        <v>XPDIW</v>
      </c>
    </row>
    <row r="4277">
      <c r="A4277" s="1" t="str">
        <f>IFERROR(__xludf.DUMMYFUNCTION("""COMPUTED_VALUE"""),"XPEL")</f>
        <v>XPEL</v>
      </c>
    </row>
    <row r="4278">
      <c r="A4278" s="1" t="str">
        <f>IFERROR(__xludf.DUMMYFUNCTION("""COMPUTED_VALUE"""),"XPER")</f>
        <v>XPER</v>
      </c>
    </row>
    <row r="4279">
      <c r="A4279" s="1" t="str">
        <f>IFERROR(__xludf.DUMMYFUNCTION("""COMPUTED_VALUE"""),"XRAY")</f>
        <v>XRAY</v>
      </c>
    </row>
    <row r="4280">
      <c r="A4280" s="1" t="str">
        <f>IFERROR(__xludf.DUMMYFUNCTION("""COMPUTED_VALUE"""),"XSPA")</f>
        <v>XSPA</v>
      </c>
    </row>
    <row r="4281">
      <c r="A4281" s="1" t="str">
        <f>IFERROR(__xludf.DUMMYFUNCTION("""COMPUTED_VALUE"""),"XTLB")</f>
        <v>XTLB</v>
      </c>
    </row>
    <row r="4282">
      <c r="A4282" s="1" t="str">
        <f>IFERROR(__xludf.DUMMYFUNCTION("""COMPUTED_VALUE"""),"YELL")</f>
        <v>YELL</v>
      </c>
    </row>
    <row r="4283">
      <c r="A4283" s="1" t="str">
        <f>IFERROR(__xludf.DUMMYFUNCTION("""COMPUTED_VALUE"""),"YGMZ")</f>
        <v>YGMZ</v>
      </c>
    </row>
    <row r="4284">
      <c r="A4284" s="1" t="str">
        <f>IFERROR(__xludf.DUMMYFUNCTION("""COMPUTED_VALUE"""),"YI")</f>
        <v>YI</v>
      </c>
    </row>
    <row r="4285">
      <c r="A4285" s="1" t="str">
        <f>IFERROR(__xludf.DUMMYFUNCTION("""COMPUTED_VALUE"""),"YJ")</f>
        <v>YJ</v>
      </c>
    </row>
    <row r="4286">
      <c r="A4286" s="1" t="str">
        <f>IFERROR(__xludf.DUMMYFUNCTION("""COMPUTED_VALUE"""),"YMAB")</f>
        <v>YMAB</v>
      </c>
    </row>
    <row r="4287">
      <c r="A4287" s="1" t="str">
        <f>IFERROR(__xludf.DUMMYFUNCTION("""COMPUTED_VALUE"""),"YMTX")</f>
        <v>YMTX</v>
      </c>
    </row>
    <row r="4288">
      <c r="A4288" s="1" t="str">
        <f>IFERROR(__xludf.DUMMYFUNCTION("""COMPUTED_VALUE"""),"YNDX")</f>
        <v>YNDX</v>
      </c>
    </row>
    <row r="4289">
      <c r="A4289" s="1" t="str">
        <f>IFERROR(__xludf.DUMMYFUNCTION("""COMPUTED_VALUE"""),"YORW")</f>
        <v>YORW</v>
      </c>
    </row>
    <row r="4290">
      <c r="A4290" s="1" t="str">
        <f>IFERROR(__xludf.DUMMYFUNCTION("""COMPUTED_VALUE"""),"YQ")</f>
        <v>YQ</v>
      </c>
    </row>
    <row r="4291">
      <c r="A4291" s="1" t="str">
        <f>IFERROR(__xludf.DUMMYFUNCTION("""COMPUTED_VALUE"""),"YSAC")</f>
        <v>YSAC</v>
      </c>
    </row>
    <row r="4292">
      <c r="A4292" s="1" t="str">
        <f>IFERROR(__xludf.DUMMYFUNCTION("""COMPUTED_VALUE"""),"YSACU")</f>
        <v>YSACU</v>
      </c>
    </row>
    <row r="4293">
      <c r="A4293" s="1" t="str">
        <f>IFERROR(__xludf.DUMMYFUNCTION("""COMPUTED_VALUE"""),"YSACW")</f>
        <v>YSACW</v>
      </c>
    </row>
    <row r="4294">
      <c r="A4294" s="1" t="str">
        <f>IFERROR(__xludf.DUMMYFUNCTION("""COMPUTED_VALUE"""),"YTEN")</f>
        <v>YTEN</v>
      </c>
    </row>
    <row r="4295">
      <c r="A4295" s="1" t="str">
        <f>IFERROR(__xludf.DUMMYFUNCTION("""COMPUTED_VALUE"""),"YTRA")</f>
        <v>YTRA</v>
      </c>
    </row>
    <row r="4296">
      <c r="A4296" s="1" t="str">
        <f>IFERROR(__xludf.DUMMYFUNCTION("""COMPUTED_VALUE"""),"YVR")</f>
        <v>YVR</v>
      </c>
    </row>
    <row r="4297">
      <c r="A4297" s="1" t="str">
        <f>IFERROR(__xludf.DUMMYFUNCTION("""COMPUTED_VALUE"""),"YY")</f>
        <v>YY</v>
      </c>
    </row>
    <row r="4298">
      <c r="A4298" s="1" t="str">
        <f>IFERROR(__xludf.DUMMYFUNCTION("""COMPUTED_VALUE"""),"Z")</f>
        <v>Z</v>
      </c>
    </row>
    <row r="4299">
      <c r="A4299" s="1" t="str">
        <f>IFERROR(__xludf.DUMMYFUNCTION("""COMPUTED_VALUE"""),"ZBRA")</f>
        <v>ZBRA</v>
      </c>
    </row>
    <row r="4300">
      <c r="A4300" s="1" t="str">
        <f>IFERROR(__xludf.DUMMYFUNCTION("""COMPUTED_VALUE"""),"ZCMD")</f>
        <v>ZCMD</v>
      </c>
    </row>
    <row r="4301">
      <c r="A4301" s="1" t="str">
        <f>IFERROR(__xludf.DUMMYFUNCTION("""COMPUTED_VALUE"""),"ZEAL")</f>
        <v>ZEAL</v>
      </c>
    </row>
    <row r="4302">
      <c r="A4302" s="1" t="str">
        <f>IFERROR(__xludf.DUMMYFUNCTION("""COMPUTED_VALUE"""),"ZENV")</f>
        <v>ZENV</v>
      </c>
    </row>
    <row r="4303">
      <c r="A4303" s="1" t="str">
        <f>IFERROR(__xludf.DUMMYFUNCTION("""COMPUTED_VALUE"""),"ZEST")</f>
        <v>ZEST</v>
      </c>
    </row>
    <row r="4304">
      <c r="A4304" s="1" t="str">
        <f>IFERROR(__xludf.DUMMYFUNCTION("""COMPUTED_VALUE"""),"ZEUS")</f>
        <v>ZEUS</v>
      </c>
    </row>
    <row r="4305">
      <c r="A4305" s="1" t="str">
        <f>IFERROR(__xludf.DUMMYFUNCTION("""COMPUTED_VALUE"""),"ZG")</f>
        <v>ZG</v>
      </c>
    </row>
    <row r="4306">
      <c r="A4306" s="1" t="str">
        <f>IFERROR(__xludf.DUMMYFUNCTION("""COMPUTED_VALUE"""),"ZGNX")</f>
        <v>ZGNX</v>
      </c>
    </row>
    <row r="4307">
      <c r="A4307" s="1" t="str">
        <f>IFERROR(__xludf.DUMMYFUNCTION("""COMPUTED_VALUE"""),"ZGYH")</f>
        <v>ZGYH</v>
      </c>
    </row>
    <row r="4308">
      <c r="A4308" s="1" t="str">
        <f>IFERROR(__xludf.DUMMYFUNCTION("""COMPUTED_VALUE"""),"ZGYHR")</f>
        <v>ZGYHR</v>
      </c>
    </row>
    <row r="4309">
      <c r="A4309" s="1" t="str">
        <f>IFERROR(__xludf.DUMMYFUNCTION("""COMPUTED_VALUE"""),"ZGYHU")</f>
        <v>ZGYHU</v>
      </c>
    </row>
    <row r="4310">
      <c r="A4310" s="1" t="str">
        <f>IFERROR(__xludf.DUMMYFUNCTION("""COMPUTED_VALUE"""),"ZGYHW")</f>
        <v>ZGYHW</v>
      </c>
    </row>
    <row r="4311">
      <c r="A4311" s="1" t="str">
        <f>IFERROR(__xludf.DUMMYFUNCTION("""COMPUTED_VALUE"""),"ZI")</f>
        <v>ZI</v>
      </c>
    </row>
    <row r="4312">
      <c r="A4312" s="1" t="str">
        <f>IFERROR(__xludf.DUMMYFUNCTION("""COMPUTED_VALUE"""),"ZION")</f>
        <v>ZION</v>
      </c>
    </row>
    <row r="4313">
      <c r="A4313" s="1" t="str">
        <f>IFERROR(__xludf.DUMMYFUNCTION("""COMPUTED_VALUE"""),"ZIONL")</f>
        <v>ZIONL</v>
      </c>
    </row>
    <row r="4314">
      <c r="A4314" s="1" t="str">
        <f>IFERROR(__xludf.DUMMYFUNCTION("""COMPUTED_VALUE"""),"ZIONO")</f>
        <v>ZIONO</v>
      </c>
    </row>
    <row r="4315">
      <c r="A4315" s="1" t="str">
        <f>IFERROR(__xludf.DUMMYFUNCTION("""COMPUTED_VALUE"""),"ZIONP")</f>
        <v>ZIONP</v>
      </c>
    </row>
    <row r="4316">
      <c r="A4316" s="1" t="str">
        <f>IFERROR(__xludf.DUMMYFUNCTION("""COMPUTED_VALUE"""),"ZIOP")</f>
        <v>ZIOP</v>
      </c>
    </row>
    <row r="4317">
      <c r="A4317" s="1" t="str">
        <f>IFERROR(__xludf.DUMMYFUNCTION("""COMPUTED_VALUE"""),"ZIVO")</f>
        <v>ZIVO</v>
      </c>
    </row>
    <row r="4318">
      <c r="A4318" s="1" t="str">
        <f>IFERROR(__xludf.DUMMYFUNCTION("""COMPUTED_VALUE"""),"ZIVOW")</f>
        <v>ZIVOW</v>
      </c>
    </row>
    <row r="4319">
      <c r="A4319" s="1" t="str">
        <f>IFERROR(__xludf.DUMMYFUNCTION("""COMPUTED_VALUE"""),"ZIXI")</f>
        <v>ZIXI</v>
      </c>
    </row>
    <row r="4320">
      <c r="A4320" s="1" t="str">
        <f>IFERROR(__xludf.DUMMYFUNCTION("""COMPUTED_VALUE"""),"ZKIN")</f>
        <v>ZKIN</v>
      </c>
    </row>
    <row r="4321">
      <c r="A4321" s="1" t="str">
        <f>IFERROR(__xludf.DUMMYFUNCTION("""COMPUTED_VALUE"""),"ZLAB")</f>
        <v>ZLAB</v>
      </c>
    </row>
    <row r="4322">
      <c r="A4322" s="1" t="str">
        <f>IFERROR(__xludf.DUMMYFUNCTION("""COMPUTED_VALUE"""),"ZM")</f>
        <v>ZM</v>
      </c>
    </row>
    <row r="4323">
      <c r="A4323" s="1" t="str">
        <f>IFERROR(__xludf.DUMMYFUNCTION("""COMPUTED_VALUE"""),"ZNGA")</f>
        <v>ZNGA</v>
      </c>
    </row>
    <row r="4324">
      <c r="A4324" s="1" t="str">
        <f>IFERROR(__xludf.DUMMYFUNCTION("""COMPUTED_VALUE"""),"ZNTE")</f>
        <v>ZNTE</v>
      </c>
    </row>
    <row r="4325">
      <c r="A4325" s="1" t="str">
        <f>IFERROR(__xludf.DUMMYFUNCTION("""COMPUTED_VALUE"""),"ZNTEU")</f>
        <v>ZNTEU</v>
      </c>
    </row>
    <row r="4326">
      <c r="A4326" s="1" t="str">
        <f>IFERROR(__xludf.DUMMYFUNCTION("""COMPUTED_VALUE"""),"ZNTEW")</f>
        <v>ZNTEW</v>
      </c>
    </row>
    <row r="4327">
      <c r="A4327" s="1" t="str">
        <f>IFERROR(__xludf.DUMMYFUNCTION("""COMPUTED_VALUE"""),"ZNTL")</f>
        <v>ZNTL</v>
      </c>
    </row>
    <row r="4328">
      <c r="A4328" s="1" t="str">
        <f>IFERROR(__xludf.DUMMYFUNCTION("""COMPUTED_VALUE"""),"ZS")</f>
        <v>ZS</v>
      </c>
    </row>
    <row r="4329">
      <c r="A4329" s="1" t="str">
        <f>IFERROR(__xludf.DUMMYFUNCTION("""COMPUTED_VALUE"""),"ZSAN")</f>
        <v>ZSAN</v>
      </c>
    </row>
    <row r="4330">
      <c r="A4330" s="1" t="str">
        <f>IFERROR(__xludf.DUMMYFUNCTION("""COMPUTED_VALUE"""),"ZTAQU")</f>
        <v>ZTAQU</v>
      </c>
    </row>
    <row r="4331">
      <c r="A4331" s="1" t="str">
        <f>IFERROR(__xludf.DUMMYFUNCTION("""COMPUTED_VALUE"""),"ZUMZ")</f>
        <v>ZUMZ</v>
      </c>
    </row>
    <row r="4332">
      <c r="A4332" s="1" t="str">
        <f>IFERROR(__xludf.DUMMYFUNCTION("""COMPUTED_VALUE"""),"ZVO")</f>
        <v>ZVO</v>
      </c>
    </row>
    <row r="4333">
      <c r="A4333" s="1" t="str">
        <f>IFERROR(__xludf.DUMMYFUNCTION("""COMPUTED_VALUE"""),"ZWRK")</f>
        <v>ZWRK</v>
      </c>
    </row>
    <row r="4334">
      <c r="A4334" s="1" t="str">
        <f>IFERROR(__xludf.DUMMYFUNCTION("""COMPUTED_VALUE"""),"ZWRKU")</f>
        <v>ZWRKU</v>
      </c>
    </row>
    <row r="4335">
      <c r="A4335" s="1" t="str">
        <f>IFERROR(__xludf.DUMMYFUNCTION("""COMPUTED_VALUE"""),"ZWRKW")</f>
        <v>ZWRKW</v>
      </c>
    </row>
    <row r="4336">
      <c r="A4336" s="1" t="str">
        <f>IFERROR(__xludf.DUMMYFUNCTION("""COMPUTED_VALUE"""),"ZY")</f>
        <v>ZY</v>
      </c>
    </row>
    <row r="4337">
      <c r="A4337" s="1" t="str">
        <f>IFERROR(__xludf.DUMMYFUNCTION("""COMPUTED_VALUE"""),"ZYNE")</f>
        <v>ZYNE</v>
      </c>
    </row>
    <row r="4338">
      <c r="A4338" s="1" t="str">
        <f>IFERROR(__xludf.DUMMYFUNCTION("""COMPUTED_VALUE"""),"ZYXI")</f>
        <v>ZYXI</v>
      </c>
    </row>
    <row r="4339">
      <c r="A4339" s="1"/>
    </row>
    <row r="4340">
      <c r="A4340" s="1"/>
    </row>
    <row r="4341">
      <c r="A4341" s="1"/>
    </row>
    <row r="4342">
      <c r="A4342" s="1"/>
    </row>
    <row r="4343">
      <c r="A4343" s="1"/>
    </row>
    <row r="4344">
      <c r="A4344" s="1"/>
    </row>
    <row r="4345">
      <c r="A4345" s="1"/>
    </row>
    <row r="4346">
      <c r="A4346" s="1"/>
    </row>
    <row r="4347">
      <c r="A4347" s="1"/>
    </row>
    <row r="4348">
      <c r="A4348" s="1"/>
    </row>
    <row r="4349">
      <c r="A4349" s="1"/>
    </row>
    <row r="4350">
      <c r="A4350" s="1"/>
    </row>
    <row r="4351">
      <c r="A4351" s="1"/>
    </row>
    <row r="4352">
      <c r="A4352" s="1"/>
    </row>
    <row r="4353">
      <c r="A4353" s="1"/>
    </row>
    <row r="4354">
      <c r="A4354" s="1"/>
    </row>
    <row r="4355">
      <c r="A4355" s="1"/>
    </row>
    <row r="4356">
      <c r="A4356" s="1"/>
    </row>
    <row r="4357">
      <c r="A4357" s="1"/>
    </row>
    <row r="4358">
      <c r="A4358" s="1"/>
    </row>
    <row r="4359">
      <c r="A4359" s="1"/>
    </row>
    <row r="4360">
      <c r="A4360" s="1"/>
    </row>
    <row r="4361">
      <c r="A4361" s="1"/>
    </row>
    <row r="4362">
      <c r="A4362" s="1"/>
    </row>
    <row r="4363">
      <c r="A4363" s="1"/>
    </row>
    <row r="4364">
      <c r="A4364" s="1"/>
    </row>
    <row r="4365">
      <c r="A4365" s="1"/>
    </row>
    <row r="4366">
      <c r="A4366" s="1"/>
    </row>
    <row r="4367">
      <c r="A4367" s="1"/>
    </row>
    <row r="4368">
      <c r="A4368" s="1"/>
    </row>
    <row r="4369">
      <c r="A4369" s="1"/>
    </row>
    <row r="4370">
      <c r="A4370" s="1"/>
    </row>
    <row r="4371">
      <c r="A4371" s="1"/>
    </row>
    <row r="4372">
      <c r="A4372" s="1"/>
    </row>
    <row r="4373">
      <c r="A4373" s="1"/>
    </row>
    <row r="4374">
      <c r="A4374" s="1"/>
    </row>
    <row r="4375">
      <c r="A4375" s="1"/>
    </row>
    <row r="4376">
      <c r="A4376" s="1"/>
    </row>
    <row r="4377">
      <c r="A4377" s="1"/>
    </row>
    <row r="4378">
      <c r="A4378" s="1"/>
    </row>
    <row r="4379">
      <c r="A4379" s="1"/>
    </row>
    <row r="4380">
      <c r="A4380" s="1"/>
    </row>
    <row r="4381">
      <c r="A4381" s="1"/>
    </row>
    <row r="4382">
      <c r="A4382" s="1"/>
    </row>
    <row r="4383">
      <c r="A4383" s="1"/>
    </row>
    <row r="4384">
      <c r="A4384" s="1"/>
    </row>
    <row r="4385">
      <c r="A4385" s="1"/>
    </row>
    <row r="4386">
      <c r="A4386" s="1"/>
    </row>
    <row r="4387">
      <c r="A4387" s="1"/>
    </row>
    <row r="4388">
      <c r="A4388" s="1"/>
    </row>
    <row r="4389">
      <c r="A4389" s="1"/>
    </row>
    <row r="4390">
      <c r="A4390" s="1"/>
    </row>
    <row r="4391">
      <c r="A4391" s="1"/>
    </row>
    <row r="4392">
      <c r="A4392" s="1"/>
    </row>
    <row r="4393">
      <c r="A4393" s="1"/>
    </row>
    <row r="4394">
      <c r="A4394" s="1"/>
    </row>
    <row r="4395">
      <c r="A4395" s="1"/>
    </row>
    <row r="4396">
      <c r="A4396" s="1"/>
    </row>
    <row r="4397">
      <c r="A4397" s="1"/>
    </row>
    <row r="4398">
      <c r="A4398" s="1"/>
    </row>
    <row r="4399">
      <c r="A4399" s="1"/>
    </row>
    <row r="4400">
      <c r="A4400" s="1"/>
    </row>
    <row r="4401">
      <c r="A4401" s="1"/>
    </row>
    <row r="4402">
      <c r="A4402" s="1"/>
    </row>
    <row r="4403">
      <c r="A4403" s="1"/>
    </row>
    <row r="4404">
      <c r="A4404" s="1"/>
    </row>
    <row r="4405">
      <c r="A4405" s="1"/>
    </row>
    <row r="4406">
      <c r="A4406" s="1"/>
    </row>
    <row r="4407">
      <c r="A4407" s="1"/>
    </row>
    <row r="4408">
      <c r="A4408" s="1"/>
    </row>
    <row r="4409">
      <c r="A4409" s="1"/>
    </row>
    <row r="4410">
      <c r="A4410" s="1"/>
    </row>
    <row r="4411">
      <c r="A4411" s="1"/>
    </row>
    <row r="4412">
      <c r="A4412" s="1"/>
    </row>
    <row r="4413">
      <c r="A4413" s="1"/>
    </row>
    <row r="4414">
      <c r="A4414" s="1"/>
    </row>
    <row r="4415">
      <c r="A4415" s="1"/>
    </row>
    <row r="4416">
      <c r="A4416" s="1"/>
    </row>
    <row r="4417">
      <c r="A4417" s="1"/>
    </row>
    <row r="4418">
      <c r="A4418" s="1"/>
    </row>
    <row r="4419">
      <c r="A4419" s="1"/>
    </row>
    <row r="4420">
      <c r="A4420" s="1"/>
    </row>
    <row r="4421">
      <c r="A4421" s="1"/>
    </row>
    <row r="4422">
      <c r="A4422" s="1"/>
    </row>
    <row r="4423">
      <c r="A4423" s="1"/>
    </row>
    <row r="4424">
      <c r="A4424" s="1"/>
    </row>
    <row r="4425">
      <c r="A4425" s="1"/>
    </row>
    <row r="4426">
      <c r="A4426" s="1"/>
    </row>
    <row r="4427">
      <c r="A4427" s="1"/>
    </row>
    <row r="4428">
      <c r="A4428" s="1"/>
    </row>
    <row r="4429">
      <c r="A4429" s="1"/>
    </row>
    <row r="4430">
      <c r="A4430" s="1"/>
    </row>
    <row r="4431">
      <c r="A4431" s="1"/>
    </row>
    <row r="4432">
      <c r="A4432" s="1"/>
    </row>
    <row r="4433">
      <c r="A4433" s="1"/>
    </row>
    <row r="4434">
      <c r="A4434" s="1"/>
    </row>
    <row r="4435">
      <c r="A4435" s="1"/>
    </row>
    <row r="4436">
      <c r="A4436" s="1"/>
    </row>
    <row r="4437">
      <c r="A4437" s="1"/>
    </row>
    <row r="4438">
      <c r="A4438" s="1"/>
    </row>
    <row r="4439">
      <c r="A4439" s="1"/>
    </row>
    <row r="4440">
      <c r="A4440" s="1"/>
    </row>
    <row r="4441">
      <c r="A4441" s="1"/>
    </row>
    <row r="4442">
      <c r="A4442" s="1"/>
    </row>
    <row r="4443">
      <c r="A4443" s="1"/>
    </row>
    <row r="4444">
      <c r="A4444" s="1"/>
    </row>
    <row r="4445">
      <c r="A4445" s="1"/>
    </row>
    <row r="4446">
      <c r="A4446" s="1"/>
    </row>
    <row r="4447">
      <c r="A4447" s="1"/>
    </row>
    <row r="4448">
      <c r="A4448" s="1"/>
    </row>
    <row r="4449">
      <c r="A4449" s="1"/>
    </row>
    <row r="4450">
      <c r="A4450" s="1"/>
    </row>
    <row r="4451">
      <c r="A4451" s="1"/>
    </row>
    <row r="4452">
      <c r="A4452" s="1"/>
    </row>
    <row r="4453">
      <c r="A4453" s="1"/>
    </row>
    <row r="4454">
      <c r="A4454" s="1"/>
    </row>
    <row r="4455">
      <c r="A4455" s="1"/>
    </row>
    <row r="4456">
      <c r="A4456" s="1"/>
    </row>
    <row r="4457">
      <c r="A4457" s="1"/>
    </row>
    <row r="4458">
      <c r="A4458" s="1"/>
    </row>
    <row r="4459">
      <c r="A4459" s="1"/>
    </row>
    <row r="4460">
      <c r="A4460" s="1"/>
    </row>
    <row r="4461">
      <c r="A4461" s="1"/>
    </row>
    <row r="4462">
      <c r="A4462" s="1"/>
    </row>
    <row r="4463">
      <c r="A4463" s="1"/>
    </row>
    <row r="4464">
      <c r="A4464" s="1"/>
    </row>
    <row r="4465">
      <c r="A4465" s="1"/>
    </row>
    <row r="4466">
      <c r="A4466" s="1"/>
    </row>
    <row r="4467">
      <c r="A4467" s="1"/>
    </row>
    <row r="4468">
      <c r="A4468" s="1"/>
    </row>
    <row r="4469">
      <c r="A4469" s="1"/>
    </row>
    <row r="4470">
      <c r="A4470" s="1"/>
    </row>
    <row r="4471">
      <c r="A4471" s="1"/>
    </row>
    <row r="4472">
      <c r="A4472" s="1"/>
    </row>
    <row r="4473">
      <c r="A4473" s="1"/>
    </row>
    <row r="4474">
      <c r="A4474" s="1"/>
    </row>
    <row r="4475">
      <c r="A4475" s="1"/>
    </row>
    <row r="4476">
      <c r="A4476" s="1"/>
    </row>
    <row r="4477">
      <c r="A4477" s="1"/>
    </row>
    <row r="4478">
      <c r="A4478" s="1"/>
    </row>
    <row r="4479">
      <c r="A4479" s="1"/>
    </row>
    <row r="4480">
      <c r="A4480" s="1"/>
    </row>
    <row r="4481">
      <c r="A4481" s="1"/>
    </row>
    <row r="4482">
      <c r="A4482" s="1"/>
    </row>
    <row r="4483">
      <c r="A4483" s="1"/>
    </row>
    <row r="4484">
      <c r="A4484" s="1"/>
    </row>
    <row r="4485">
      <c r="A4485" s="1"/>
    </row>
    <row r="4486">
      <c r="A4486" s="1"/>
    </row>
    <row r="4487">
      <c r="A4487" s="1"/>
    </row>
    <row r="4488">
      <c r="A4488" s="1"/>
    </row>
    <row r="4489">
      <c r="A4489" s="1"/>
    </row>
    <row r="4490">
      <c r="A4490" s="1"/>
    </row>
    <row r="4491">
      <c r="A4491" s="1"/>
    </row>
    <row r="4492">
      <c r="A4492" s="1"/>
    </row>
    <row r="4493">
      <c r="A4493" s="1"/>
    </row>
    <row r="4494">
      <c r="A4494" s="1"/>
    </row>
    <row r="4495">
      <c r="A4495" s="1"/>
    </row>
    <row r="4496">
      <c r="A4496" s="1"/>
    </row>
    <row r="4497">
      <c r="A4497" s="1"/>
    </row>
    <row r="4498">
      <c r="A4498" s="1"/>
    </row>
    <row r="4499">
      <c r="A4499" s="1"/>
    </row>
    <row r="4500">
      <c r="A4500" s="1"/>
    </row>
    <row r="4501">
      <c r="A4501" s="1"/>
    </row>
    <row r="4502">
      <c r="A4502" s="1"/>
    </row>
    <row r="4503">
      <c r="A4503" s="1"/>
    </row>
    <row r="4504">
      <c r="A4504" s="1"/>
    </row>
    <row r="4505">
      <c r="A4505" s="1"/>
    </row>
    <row r="4506">
      <c r="A4506" s="1"/>
    </row>
    <row r="4507">
      <c r="A4507" s="1"/>
    </row>
    <row r="4508">
      <c r="A4508" s="1"/>
    </row>
    <row r="4509">
      <c r="A4509" s="1"/>
    </row>
    <row r="4510">
      <c r="A4510" s="1"/>
    </row>
    <row r="4511">
      <c r="A4511" s="1"/>
    </row>
    <row r="4512">
      <c r="A4512" s="1"/>
    </row>
    <row r="4513">
      <c r="A4513" s="1"/>
    </row>
    <row r="4514">
      <c r="A4514" s="1"/>
    </row>
    <row r="4515">
      <c r="A4515" s="1"/>
    </row>
    <row r="4516">
      <c r="A4516" s="1"/>
    </row>
    <row r="4517">
      <c r="A4517" s="1"/>
    </row>
    <row r="4518">
      <c r="A4518" s="1"/>
    </row>
    <row r="4519">
      <c r="A4519" s="1"/>
    </row>
    <row r="4520">
      <c r="A4520" s="1"/>
    </row>
    <row r="4521">
      <c r="A4521" s="1"/>
    </row>
    <row r="4522">
      <c r="A4522" s="1"/>
    </row>
    <row r="4523">
      <c r="A4523" s="1"/>
    </row>
    <row r="4524">
      <c r="A4524" s="1"/>
    </row>
    <row r="4525">
      <c r="A4525" s="1"/>
    </row>
    <row r="4526">
      <c r="A4526" s="1"/>
    </row>
    <row r="4527">
      <c r="A4527" s="1"/>
    </row>
    <row r="4528">
      <c r="A4528" s="1"/>
    </row>
    <row r="4529">
      <c r="A4529" s="1"/>
    </row>
    <row r="4530">
      <c r="A4530" s="1"/>
    </row>
    <row r="4531">
      <c r="A4531" s="1"/>
    </row>
    <row r="4532">
      <c r="A4532" s="1"/>
    </row>
    <row r="4533">
      <c r="A4533" s="1"/>
    </row>
    <row r="4534">
      <c r="A4534" s="1"/>
    </row>
    <row r="4535">
      <c r="A4535" s="1"/>
    </row>
    <row r="4536">
      <c r="A4536" s="1"/>
    </row>
    <row r="4537">
      <c r="A4537" s="1"/>
    </row>
    <row r="4538">
      <c r="A4538" s="1"/>
    </row>
    <row r="4539">
      <c r="A4539" s="1"/>
    </row>
    <row r="4540">
      <c r="A4540" s="1"/>
    </row>
    <row r="4541">
      <c r="A4541" s="1"/>
    </row>
    <row r="4542">
      <c r="A4542" s="1"/>
    </row>
    <row r="4543">
      <c r="A4543" s="1"/>
    </row>
    <row r="4544">
      <c r="A4544" s="1"/>
    </row>
    <row r="4545">
      <c r="A4545" s="1"/>
    </row>
    <row r="4546">
      <c r="A4546" s="1"/>
    </row>
    <row r="4547">
      <c r="A4547" s="1"/>
    </row>
    <row r="4548">
      <c r="A4548" s="1"/>
    </row>
    <row r="4549">
      <c r="A4549" s="1"/>
    </row>
    <row r="4550">
      <c r="A4550" s="1"/>
    </row>
    <row r="4551">
      <c r="A4551" s="1"/>
    </row>
    <row r="4552">
      <c r="A4552" s="1"/>
    </row>
    <row r="4553">
      <c r="A4553" s="1"/>
    </row>
    <row r="4554">
      <c r="A4554" s="1"/>
    </row>
    <row r="4555">
      <c r="A4555" s="1"/>
    </row>
    <row r="4556">
      <c r="A4556" s="1"/>
    </row>
    <row r="4557">
      <c r="A4557" s="1"/>
    </row>
    <row r="4558">
      <c r="A4558" s="1"/>
    </row>
    <row r="4559">
      <c r="A4559" s="1"/>
    </row>
    <row r="4560">
      <c r="A4560" s="1"/>
    </row>
    <row r="4561">
      <c r="A4561" s="1"/>
    </row>
    <row r="4562">
      <c r="A4562" s="1"/>
    </row>
    <row r="4563">
      <c r="A4563" s="1"/>
    </row>
    <row r="4564">
      <c r="A4564" s="1"/>
    </row>
    <row r="4565">
      <c r="A4565" s="1"/>
    </row>
    <row r="4566">
      <c r="A4566" s="1"/>
    </row>
    <row r="4567">
      <c r="A4567" s="1"/>
    </row>
    <row r="4568">
      <c r="A4568" s="1"/>
    </row>
    <row r="4569">
      <c r="A4569" s="1"/>
    </row>
    <row r="4570">
      <c r="A4570" s="1"/>
    </row>
    <row r="4571">
      <c r="A4571" s="1"/>
    </row>
    <row r="4572">
      <c r="A4572" s="1"/>
    </row>
    <row r="4573">
      <c r="A4573" s="1"/>
    </row>
    <row r="4574">
      <c r="A4574" s="1"/>
    </row>
    <row r="4575">
      <c r="A4575" s="1"/>
    </row>
    <row r="4576">
      <c r="A4576" s="1"/>
    </row>
    <row r="4577">
      <c r="A4577" s="1"/>
    </row>
    <row r="4578">
      <c r="A4578" s="1"/>
    </row>
    <row r="4579">
      <c r="A4579" s="1"/>
    </row>
    <row r="4580">
      <c r="A4580" s="1"/>
    </row>
    <row r="4581">
      <c r="A4581" s="1"/>
    </row>
    <row r="4582">
      <c r="A4582" s="1"/>
    </row>
    <row r="4583">
      <c r="A4583" s="1"/>
    </row>
    <row r="4584">
      <c r="A4584" s="1"/>
    </row>
    <row r="4585">
      <c r="A4585" s="1"/>
    </row>
    <row r="4586">
      <c r="A4586" s="1"/>
    </row>
    <row r="4587">
      <c r="A4587" s="1"/>
    </row>
    <row r="4588">
      <c r="A4588" s="1"/>
    </row>
    <row r="4589">
      <c r="A4589" s="1"/>
    </row>
    <row r="4590">
      <c r="A4590" s="1"/>
    </row>
    <row r="4591">
      <c r="A4591" s="1"/>
    </row>
    <row r="4592">
      <c r="A4592" s="1"/>
    </row>
    <row r="4593">
      <c r="A4593" s="1"/>
    </row>
    <row r="4594">
      <c r="A4594" s="1"/>
    </row>
    <row r="4595">
      <c r="A4595" s="1"/>
    </row>
    <row r="4596">
      <c r="A4596" s="1"/>
    </row>
    <row r="4597">
      <c r="A4597" s="1"/>
    </row>
    <row r="4598">
      <c r="A4598" s="1"/>
    </row>
    <row r="4599">
      <c r="A4599" s="1"/>
    </row>
    <row r="4600">
      <c r="A4600" s="1"/>
    </row>
    <row r="4601">
      <c r="A4601" s="1"/>
    </row>
    <row r="4602">
      <c r="A4602" s="1"/>
    </row>
    <row r="4603">
      <c r="A4603" s="1"/>
    </row>
    <row r="4604">
      <c r="A4604" s="1"/>
    </row>
    <row r="4605">
      <c r="A4605" s="1"/>
    </row>
    <row r="4606">
      <c r="A4606" s="1"/>
    </row>
    <row r="4607">
      <c r="A4607" s="1"/>
    </row>
    <row r="4608">
      <c r="A4608" s="1"/>
    </row>
    <row r="4609">
      <c r="A4609" s="1"/>
    </row>
    <row r="4610">
      <c r="A4610" s="1"/>
    </row>
    <row r="4611">
      <c r="A4611" s="1"/>
    </row>
    <row r="4612">
      <c r="A4612" s="1"/>
    </row>
    <row r="4613">
      <c r="A4613" s="1"/>
    </row>
    <row r="4614">
      <c r="A4614" s="1"/>
    </row>
    <row r="4615">
      <c r="A4615" s="1"/>
    </row>
    <row r="4616">
      <c r="A4616" s="1"/>
    </row>
    <row r="4617">
      <c r="A4617" s="1"/>
    </row>
    <row r="4618">
      <c r="A4618" s="1"/>
    </row>
    <row r="4619">
      <c r="A4619" s="1"/>
    </row>
    <row r="4620">
      <c r="A4620" s="1"/>
    </row>
    <row r="4621">
      <c r="A4621" s="1"/>
    </row>
    <row r="4622">
      <c r="A4622" s="1"/>
    </row>
    <row r="4623">
      <c r="A4623" s="1"/>
    </row>
    <row r="4624">
      <c r="A4624" s="1"/>
    </row>
    <row r="4625">
      <c r="A4625" s="1"/>
    </row>
    <row r="4626">
      <c r="A4626" s="1"/>
    </row>
    <row r="4627">
      <c r="A4627" s="1"/>
    </row>
    <row r="4628">
      <c r="A4628" s="1"/>
    </row>
    <row r="4629">
      <c r="A4629" s="1"/>
    </row>
    <row r="4630">
      <c r="A4630" s="1"/>
    </row>
    <row r="4631">
      <c r="A4631" s="1"/>
    </row>
    <row r="4632">
      <c r="A4632" s="1"/>
    </row>
    <row r="4633">
      <c r="A4633" s="1"/>
    </row>
    <row r="4634">
      <c r="A4634" s="1"/>
    </row>
    <row r="4635">
      <c r="A4635" s="1"/>
    </row>
    <row r="4636">
      <c r="A4636" s="1"/>
    </row>
    <row r="4637">
      <c r="A4637" s="1"/>
    </row>
    <row r="4638">
      <c r="A4638" s="1"/>
    </row>
    <row r="4639">
      <c r="A4639" s="1"/>
    </row>
    <row r="4640">
      <c r="A4640" s="1"/>
    </row>
    <row r="4641">
      <c r="A4641" s="1"/>
    </row>
    <row r="4642">
      <c r="A4642" s="1"/>
    </row>
    <row r="4643">
      <c r="A4643" s="1"/>
    </row>
    <row r="4644">
      <c r="A4644" s="1"/>
    </row>
    <row r="4645">
      <c r="A4645" s="1"/>
    </row>
    <row r="4646">
      <c r="A4646" s="1"/>
    </row>
    <row r="4647">
      <c r="A4647" s="1"/>
    </row>
    <row r="4648">
      <c r="A4648" s="1"/>
    </row>
    <row r="4649">
      <c r="A4649" s="1"/>
    </row>
    <row r="4650">
      <c r="A4650" s="1"/>
    </row>
    <row r="4651">
      <c r="A4651" s="1"/>
    </row>
    <row r="4652">
      <c r="A4652" s="1"/>
    </row>
    <row r="4653">
      <c r="A4653" s="1"/>
    </row>
    <row r="4654">
      <c r="A4654" s="1"/>
    </row>
    <row r="4655">
      <c r="A4655" s="1"/>
    </row>
    <row r="4656">
      <c r="A4656" s="1"/>
    </row>
    <row r="4657">
      <c r="A4657" s="1"/>
    </row>
    <row r="4658">
      <c r="A4658" s="1"/>
    </row>
    <row r="4659">
      <c r="A4659" s="1"/>
    </row>
    <row r="4660">
      <c r="A4660" s="1"/>
    </row>
    <row r="4661">
      <c r="A4661" s="1"/>
    </row>
    <row r="4662">
      <c r="A4662" s="1"/>
    </row>
    <row r="4663">
      <c r="A4663" s="1"/>
    </row>
    <row r="4664">
      <c r="A4664" s="1"/>
    </row>
    <row r="4665">
      <c r="A4665" s="1"/>
    </row>
    <row r="4666">
      <c r="A4666" s="1"/>
    </row>
    <row r="4667">
      <c r="A4667" s="1"/>
    </row>
    <row r="4668">
      <c r="A4668" s="1"/>
    </row>
    <row r="4669">
      <c r="A4669" s="1"/>
    </row>
    <row r="4670">
      <c r="A4670" s="1"/>
    </row>
    <row r="4671">
      <c r="A4671" s="1"/>
    </row>
    <row r="4672">
      <c r="A4672" s="1"/>
    </row>
    <row r="4673">
      <c r="A4673" s="1"/>
    </row>
    <row r="4674">
      <c r="A4674" s="1"/>
    </row>
    <row r="4675">
      <c r="A4675" s="1"/>
    </row>
    <row r="4676">
      <c r="A4676" s="1"/>
    </row>
    <row r="4677">
      <c r="A4677" s="1"/>
    </row>
    <row r="4678">
      <c r="A4678" s="1"/>
    </row>
    <row r="4679">
      <c r="A4679" s="1"/>
    </row>
    <row r="4680">
      <c r="A4680" s="1"/>
    </row>
    <row r="4681">
      <c r="A4681" s="1"/>
    </row>
    <row r="4682">
      <c r="A4682" s="1"/>
    </row>
    <row r="4683">
      <c r="A4683" s="1"/>
    </row>
    <row r="4684">
      <c r="A4684" s="1"/>
    </row>
    <row r="4685">
      <c r="A4685" s="1"/>
    </row>
    <row r="4686">
      <c r="A4686" s="1"/>
    </row>
    <row r="4687">
      <c r="A4687" s="1"/>
    </row>
    <row r="4688">
      <c r="A4688" s="1"/>
    </row>
    <row r="4689">
      <c r="A4689" s="1"/>
    </row>
    <row r="4690">
      <c r="A4690" s="1"/>
    </row>
    <row r="4691">
      <c r="A4691" s="1"/>
    </row>
    <row r="4692">
      <c r="A4692" s="1"/>
    </row>
    <row r="4693">
      <c r="A4693" s="1"/>
    </row>
    <row r="4694">
      <c r="A4694" s="1"/>
    </row>
    <row r="4695">
      <c r="A4695" s="1"/>
    </row>
    <row r="4696">
      <c r="A4696" s="1"/>
    </row>
    <row r="4697">
      <c r="A4697" s="1"/>
    </row>
    <row r="4698">
      <c r="A4698" s="1"/>
    </row>
    <row r="4699">
      <c r="A4699" s="1"/>
    </row>
    <row r="4700">
      <c r="A4700" s="1"/>
    </row>
    <row r="4701">
      <c r="A4701" s="1"/>
    </row>
    <row r="4702">
      <c r="A4702" s="1"/>
    </row>
    <row r="4703">
      <c r="A4703" s="1"/>
    </row>
    <row r="4704">
      <c r="A4704" s="1"/>
    </row>
    <row r="4705">
      <c r="A4705" s="1"/>
    </row>
    <row r="4706">
      <c r="A4706" s="1"/>
    </row>
    <row r="4707">
      <c r="A4707" s="1"/>
    </row>
    <row r="4708">
      <c r="A4708" s="1"/>
    </row>
    <row r="4709">
      <c r="A4709" s="1"/>
    </row>
    <row r="4710">
      <c r="A4710" s="1"/>
    </row>
    <row r="4711">
      <c r="A4711" s="1"/>
    </row>
    <row r="4712">
      <c r="A4712" s="1"/>
    </row>
    <row r="4713">
      <c r="A4713" s="1"/>
    </row>
    <row r="4714">
      <c r="A4714" s="1"/>
    </row>
    <row r="4715">
      <c r="A4715" s="1"/>
    </row>
    <row r="4716">
      <c r="A4716" s="1"/>
    </row>
    <row r="4717">
      <c r="A4717" s="1"/>
    </row>
    <row r="4718">
      <c r="A4718" s="1"/>
    </row>
    <row r="4719">
      <c r="A4719" s="1"/>
    </row>
    <row r="4720">
      <c r="A4720" s="1"/>
    </row>
    <row r="4721">
      <c r="A4721" s="1"/>
    </row>
    <row r="4722">
      <c r="A4722" s="1"/>
    </row>
    <row r="4723">
      <c r="A4723" s="1"/>
    </row>
    <row r="4724">
      <c r="A4724" s="1"/>
    </row>
    <row r="4725">
      <c r="A4725" s="1"/>
    </row>
    <row r="4726">
      <c r="A4726" s="1"/>
    </row>
    <row r="4727">
      <c r="A4727" s="1"/>
    </row>
    <row r="4728">
      <c r="A4728" s="1"/>
    </row>
    <row r="4729">
      <c r="A4729" s="1"/>
    </row>
    <row r="4730">
      <c r="A4730" s="1"/>
    </row>
    <row r="4731">
      <c r="A4731" s="1"/>
    </row>
    <row r="4732">
      <c r="A4732" s="1"/>
    </row>
    <row r="4733">
      <c r="A4733" s="1"/>
    </row>
    <row r="4734">
      <c r="A4734" s="1"/>
    </row>
    <row r="4735">
      <c r="A4735" s="1"/>
    </row>
    <row r="4736">
      <c r="A4736" s="1"/>
    </row>
    <row r="4737">
      <c r="A4737" s="1"/>
    </row>
    <row r="4738">
      <c r="A4738" s="1"/>
    </row>
    <row r="4739">
      <c r="A4739" s="1"/>
    </row>
    <row r="4740">
      <c r="A4740" s="1"/>
    </row>
    <row r="4741">
      <c r="A4741" s="1"/>
    </row>
    <row r="4742">
      <c r="A4742" s="1"/>
    </row>
    <row r="4743">
      <c r="A4743" s="1"/>
    </row>
    <row r="4744">
      <c r="A4744" s="1"/>
    </row>
    <row r="4745">
      <c r="A4745" s="1"/>
    </row>
    <row r="4746">
      <c r="A4746" s="1"/>
    </row>
    <row r="4747">
      <c r="A4747" s="1"/>
    </row>
    <row r="4748">
      <c r="A4748" s="1"/>
    </row>
    <row r="4749">
      <c r="A4749" s="1"/>
    </row>
    <row r="4750">
      <c r="A4750" s="1"/>
    </row>
    <row r="4751">
      <c r="A4751" s="1"/>
    </row>
    <row r="4752">
      <c r="A4752" s="1"/>
    </row>
    <row r="4753">
      <c r="A4753" s="1"/>
    </row>
    <row r="4754">
      <c r="A4754" s="1"/>
    </row>
    <row r="4755">
      <c r="A4755" s="1"/>
    </row>
    <row r="4756">
      <c r="A4756" s="1"/>
    </row>
    <row r="4757">
      <c r="A4757" s="1"/>
    </row>
    <row r="4758">
      <c r="A4758" s="1"/>
    </row>
    <row r="4759">
      <c r="A4759" s="1"/>
    </row>
    <row r="4760">
      <c r="A4760" s="1"/>
    </row>
    <row r="4761">
      <c r="A4761" s="1"/>
    </row>
    <row r="4762">
      <c r="A4762" s="1"/>
    </row>
    <row r="4763">
      <c r="A4763" s="1"/>
    </row>
    <row r="4764">
      <c r="A4764" s="1"/>
    </row>
    <row r="4765">
      <c r="A4765" s="1"/>
    </row>
    <row r="4766">
      <c r="A4766" s="1"/>
    </row>
    <row r="4767">
      <c r="A4767" s="1"/>
    </row>
    <row r="4768">
      <c r="A4768" s="1"/>
    </row>
    <row r="4769">
      <c r="A4769" s="1"/>
    </row>
    <row r="4770">
      <c r="A4770" s="1"/>
    </row>
    <row r="4771">
      <c r="A4771" s="1"/>
    </row>
    <row r="4772">
      <c r="A4772" s="1"/>
    </row>
    <row r="4773">
      <c r="A4773" s="1"/>
    </row>
    <row r="4774">
      <c r="A4774" s="1"/>
    </row>
    <row r="4775">
      <c r="A4775" s="1"/>
    </row>
    <row r="4776">
      <c r="A4776" s="1"/>
    </row>
    <row r="4777">
      <c r="A4777" s="1"/>
    </row>
    <row r="4778">
      <c r="A4778" s="1"/>
    </row>
    <row r="4779">
      <c r="A4779" s="1"/>
    </row>
    <row r="4780">
      <c r="A4780" s="1"/>
    </row>
    <row r="4781">
      <c r="A4781" s="1"/>
    </row>
    <row r="4782">
      <c r="A4782" s="1"/>
    </row>
    <row r="4783">
      <c r="A4783" s="1"/>
    </row>
    <row r="4784">
      <c r="A4784" s="1"/>
    </row>
    <row r="4785">
      <c r="A4785" s="1"/>
    </row>
    <row r="4786">
      <c r="A4786" s="1"/>
    </row>
    <row r="4787">
      <c r="A4787" s="1"/>
    </row>
    <row r="4788">
      <c r="A4788" s="1"/>
    </row>
    <row r="4789">
      <c r="A4789" s="1"/>
    </row>
    <row r="4790">
      <c r="A4790" s="1"/>
    </row>
    <row r="4791">
      <c r="A4791" s="1"/>
    </row>
    <row r="4792">
      <c r="A4792" s="1"/>
    </row>
    <row r="4793">
      <c r="A4793" s="1"/>
    </row>
    <row r="4794">
      <c r="A4794" s="1"/>
    </row>
    <row r="4795">
      <c r="A4795" s="1"/>
    </row>
    <row r="4796">
      <c r="A4796" s="1"/>
    </row>
    <row r="4797">
      <c r="A4797" s="1"/>
    </row>
    <row r="4798">
      <c r="A4798" s="1"/>
    </row>
    <row r="4799">
      <c r="A4799" s="1"/>
    </row>
    <row r="4800">
      <c r="A4800" s="1"/>
    </row>
    <row r="4801">
      <c r="A4801" s="1"/>
    </row>
    <row r="4802">
      <c r="A4802" s="1"/>
    </row>
    <row r="4803">
      <c r="A4803" s="1"/>
    </row>
    <row r="4804">
      <c r="A4804" s="1"/>
    </row>
    <row r="4805">
      <c r="A4805" s="1"/>
    </row>
    <row r="4806">
      <c r="A4806" s="1"/>
    </row>
    <row r="4807">
      <c r="A4807" s="1"/>
    </row>
    <row r="4808">
      <c r="A4808" s="1"/>
    </row>
    <row r="4809">
      <c r="A4809" s="1"/>
    </row>
    <row r="4810">
      <c r="A4810" s="1"/>
    </row>
    <row r="4811">
      <c r="A4811" s="1"/>
    </row>
    <row r="4812">
      <c r="A4812" s="1"/>
    </row>
    <row r="4813">
      <c r="A4813" s="1"/>
    </row>
    <row r="4814">
      <c r="A4814" s="1"/>
    </row>
    <row r="4815">
      <c r="A4815" s="1"/>
    </row>
    <row r="4816">
      <c r="A4816" s="1"/>
    </row>
    <row r="4817">
      <c r="A4817" s="1"/>
    </row>
    <row r="4818">
      <c r="A4818" s="1"/>
    </row>
    <row r="4819">
      <c r="A4819" s="1"/>
    </row>
    <row r="4820">
      <c r="A4820" s="1"/>
    </row>
    <row r="4821">
      <c r="A4821" s="1"/>
    </row>
    <row r="4822">
      <c r="A4822" s="1"/>
    </row>
    <row r="4823">
      <c r="A4823" s="1"/>
    </row>
    <row r="4824">
      <c r="A4824" s="1"/>
    </row>
    <row r="4825">
      <c r="A4825" s="1"/>
    </row>
    <row r="4826">
      <c r="A4826" s="1"/>
    </row>
    <row r="4827">
      <c r="A4827" s="1"/>
    </row>
    <row r="4828">
      <c r="A4828" s="1"/>
    </row>
    <row r="4829">
      <c r="A4829" s="1"/>
    </row>
    <row r="4830">
      <c r="A4830" s="1"/>
    </row>
    <row r="4831">
      <c r="A4831" s="1"/>
    </row>
    <row r="4832">
      <c r="A4832" s="1"/>
    </row>
    <row r="4833">
      <c r="A4833" s="1"/>
    </row>
    <row r="4834">
      <c r="A4834" s="1"/>
    </row>
    <row r="4835">
      <c r="A4835" s="1"/>
    </row>
    <row r="4836">
      <c r="A4836" s="1"/>
    </row>
    <row r="4837">
      <c r="A4837" s="1"/>
    </row>
    <row r="4838">
      <c r="A4838" s="1"/>
    </row>
    <row r="4839">
      <c r="A4839" s="1"/>
    </row>
    <row r="4840">
      <c r="A4840" s="1"/>
    </row>
    <row r="4841">
      <c r="A4841" s="1"/>
    </row>
    <row r="4842">
      <c r="A4842" s="1"/>
    </row>
    <row r="4843">
      <c r="A4843" s="1"/>
    </row>
    <row r="4844">
      <c r="A4844" s="1"/>
    </row>
    <row r="4845">
      <c r="A4845" s="1"/>
    </row>
    <row r="4846">
      <c r="A4846" s="1"/>
    </row>
    <row r="4847">
      <c r="A4847" s="1"/>
    </row>
    <row r="4848">
      <c r="A4848" s="1"/>
    </row>
    <row r="4849">
      <c r="A4849" s="1"/>
    </row>
    <row r="4850">
      <c r="A4850" s="1"/>
    </row>
    <row r="4851">
      <c r="A4851" s="1"/>
    </row>
    <row r="4852">
      <c r="A4852" s="1"/>
    </row>
    <row r="4853">
      <c r="A4853" s="1"/>
    </row>
    <row r="4854">
      <c r="A4854" s="1"/>
    </row>
    <row r="4855">
      <c r="A4855" s="1"/>
    </row>
    <row r="4856">
      <c r="A4856" s="1"/>
    </row>
    <row r="4857">
      <c r="A4857" s="1"/>
    </row>
    <row r="4858">
      <c r="A4858" s="1"/>
    </row>
    <row r="4859">
      <c r="A4859" s="1"/>
    </row>
    <row r="4860">
      <c r="A4860" s="1"/>
    </row>
    <row r="4861">
      <c r="A4861" s="1"/>
    </row>
    <row r="4862">
      <c r="A4862" s="1"/>
    </row>
    <row r="4863">
      <c r="A4863" s="1"/>
    </row>
    <row r="4864">
      <c r="A4864" s="1"/>
    </row>
    <row r="4865">
      <c r="A4865" s="1"/>
    </row>
    <row r="4866">
      <c r="A4866" s="1"/>
    </row>
    <row r="4867">
      <c r="A4867" s="1"/>
    </row>
    <row r="4868">
      <c r="A4868" s="1"/>
    </row>
    <row r="4869">
      <c r="A4869" s="1"/>
    </row>
    <row r="4870">
      <c r="A4870" s="1"/>
    </row>
    <row r="4871">
      <c r="A4871" s="1"/>
    </row>
    <row r="4872">
      <c r="A4872" s="1"/>
    </row>
    <row r="4873">
      <c r="A4873" s="1"/>
    </row>
    <row r="4874">
      <c r="A4874" s="1"/>
    </row>
    <row r="4875">
      <c r="A4875" s="1"/>
    </row>
    <row r="4876">
      <c r="A4876" s="1"/>
    </row>
    <row r="4877">
      <c r="A4877" s="1"/>
    </row>
    <row r="4878">
      <c r="A4878" s="1"/>
    </row>
    <row r="4879">
      <c r="A4879" s="1"/>
    </row>
    <row r="4880">
      <c r="A4880" s="1"/>
    </row>
    <row r="4881">
      <c r="A4881" s="1"/>
    </row>
    <row r="4882">
      <c r="A4882" s="1"/>
    </row>
    <row r="4883">
      <c r="A4883" s="1"/>
    </row>
    <row r="4884">
      <c r="A4884" s="1"/>
    </row>
    <row r="4885">
      <c r="A4885" s="1"/>
    </row>
    <row r="4886">
      <c r="A4886" s="1"/>
    </row>
    <row r="4887">
      <c r="A4887" s="1"/>
    </row>
    <row r="4888">
      <c r="A4888" s="1"/>
    </row>
    <row r="4889">
      <c r="A4889" s="1"/>
    </row>
    <row r="4890">
      <c r="A4890" s="1"/>
    </row>
    <row r="4891">
      <c r="A4891" s="1"/>
    </row>
    <row r="4892">
      <c r="A4892" s="1"/>
    </row>
    <row r="4893">
      <c r="A4893" s="1"/>
    </row>
    <row r="4894">
      <c r="A4894" s="1"/>
    </row>
    <row r="4895">
      <c r="A4895" s="1"/>
    </row>
    <row r="4896">
      <c r="A4896" s="1"/>
    </row>
    <row r="4897">
      <c r="A4897" s="1"/>
    </row>
    <row r="4898">
      <c r="A4898" s="1"/>
    </row>
    <row r="4899">
      <c r="A4899" s="1"/>
    </row>
    <row r="4900">
      <c r="A4900" s="1"/>
    </row>
    <row r="4901">
      <c r="A4901" s="1"/>
    </row>
    <row r="4902">
      <c r="A4902" s="1"/>
    </row>
    <row r="4903">
      <c r="A4903" s="1"/>
    </row>
    <row r="4904">
      <c r="A4904" s="1"/>
    </row>
    <row r="4905">
      <c r="A4905" s="1"/>
    </row>
    <row r="4906">
      <c r="A4906" s="1"/>
    </row>
    <row r="4907">
      <c r="A4907" s="1"/>
    </row>
    <row r="4908">
      <c r="A4908" s="1"/>
    </row>
    <row r="4909">
      <c r="A4909" s="1"/>
    </row>
    <row r="4910">
      <c r="A4910" s="1"/>
    </row>
    <row r="4911">
      <c r="A4911" s="1"/>
    </row>
    <row r="4912">
      <c r="A4912" s="1"/>
    </row>
    <row r="4913">
      <c r="A4913" s="1"/>
    </row>
    <row r="4914">
      <c r="A4914" s="1"/>
    </row>
    <row r="4915">
      <c r="A4915" s="1"/>
    </row>
    <row r="4916">
      <c r="A4916" s="1"/>
    </row>
    <row r="4917">
      <c r="A4917" s="1"/>
    </row>
    <row r="4918">
      <c r="A4918" s="1"/>
    </row>
    <row r="4919">
      <c r="A4919" s="1"/>
    </row>
    <row r="4920">
      <c r="A4920" s="1"/>
    </row>
    <row r="4921">
      <c r="A4921" s="1"/>
    </row>
    <row r="4922">
      <c r="A4922" s="1"/>
    </row>
    <row r="4923">
      <c r="A4923" s="1"/>
    </row>
    <row r="4924">
      <c r="A4924" s="1"/>
    </row>
    <row r="4925">
      <c r="A4925" s="1"/>
    </row>
    <row r="4926">
      <c r="A4926" s="1"/>
    </row>
    <row r="4927">
      <c r="A4927" s="1"/>
    </row>
    <row r="4928">
      <c r="A4928" s="1"/>
    </row>
    <row r="4929">
      <c r="A4929" s="1"/>
    </row>
    <row r="4930">
      <c r="A4930" s="1"/>
    </row>
    <row r="4931">
      <c r="A4931" s="1"/>
    </row>
    <row r="4932">
      <c r="A4932" s="1"/>
    </row>
    <row r="4933">
      <c r="A4933" s="1"/>
    </row>
    <row r="4934">
      <c r="A4934" s="1"/>
    </row>
    <row r="4935">
      <c r="A4935" s="1"/>
    </row>
    <row r="4936">
      <c r="A4936" s="1"/>
    </row>
    <row r="4937">
      <c r="A4937" s="1"/>
    </row>
    <row r="4938">
      <c r="A4938" s="1"/>
    </row>
    <row r="4939">
      <c r="A4939" s="1"/>
    </row>
    <row r="4940">
      <c r="A4940" s="1"/>
    </row>
    <row r="4941">
      <c r="A4941" s="1"/>
    </row>
    <row r="4942">
      <c r="A4942" s="1"/>
    </row>
    <row r="4943">
      <c r="A4943" s="1"/>
    </row>
    <row r="4944">
      <c r="A4944" s="1"/>
    </row>
    <row r="4945">
      <c r="A4945" s="1"/>
    </row>
    <row r="4946">
      <c r="A4946" s="1"/>
    </row>
    <row r="4947">
      <c r="A4947" s="1"/>
    </row>
    <row r="4948">
      <c r="A4948" s="1"/>
    </row>
    <row r="4949">
      <c r="A4949" s="1"/>
    </row>
    <row r="4950">
      <c r="A4950" s="1"/>
    </row>
    <row r="4951">
      <c r="A4951" s="1"/>
    </row>
    <row r="4952">
      <c r="A4952" s="1"/>
    </row>
    <row r="4953">
      <c r="A4953" s="1"/>
    </row>
    <row r="4954">
      <c r="A4954" s="1"/>
    </row>
    <row r="4955">
      <c r="A4955" s="1"/>
    </row>
    <row r="4956">
      <c r="A4956" s="1"/>
    </row>
    <row r="4957">
      <c r="A4957" s="1"/>
    </row>
    <row r="4958">
      <c r="A4958" s="1"/>
    </row>
    <row r="4959">
      <c r="A4959" s="1"/>
    </row>
    <row r="4960">
      <c r="A4960" s="1"/>
    </row>
    <row r="4961">
      <c r="A4961" s="1"/>
    </row>
    <row r="4962">
      <c r="A4962" s="1"/>
    </row>
    <row r="4963">
      <c r="A4963" s="1"/>
    </row>
    <row r="4964">
      <c r="A4964" s="1"/>
    </row>
    <row r="4965">
      <c r="A4965" s="1"/>
    </row>
    <row r="4966">
      <c r="A4966" s="1"/>
    </row>
    <row r="4967">
      <c r="A4967" s="1"/>
    </row>
    <row r="4968">
      <c r="A4968" s="1"/>
    </row>
    <row r="4969">
      <c r="A4969" s="1"/>
    </row>
    <row r="4970">
      <c r="A4970" s="1"/>
    </row>
    <row r="4971">
      <c r="A4971" s="1"/>
    </row>
    <row r="4972">
      <c r="A4972" s="1"/>
    </row>
    <row r="4973">
      <c r="A4973" s="1"/>
    </row>
    <row r="4974">
      <c r="A4974" s="1"/>
    </row>
    <row r="4975">
      <c r="A4975" s="1"/>
    </row>
    <row r="4976">
      <c r="A4976" s="1"/>
    </row>
    <row r="4977">
      <c r="A4977" s="1"/>
    </row>
    <row r="4978">
      <c r="A4978" s="1"/>
    </row>
    <row r="4979">
      <c r="A4979" s="1"/>
    </row>
    <row r="4980">
      <c r="A4980" s="1"/>
    </row>
    <row r="4981">
      <c r="A4981" s="1"/>
    </row>
    <row r="4982">
      <c r="A4982" s="1"/>
    </row>
    <row r="4983">
      <c r="A4983" s="1"/>
    </row>
    <row r="4984">
      <c r="A4984" s="1"/>
    </row>
    <row r="4985">
      <c r="A4985" s="1"/>
    </row>
    <row r="4986">
      <c r="A4986" s="1"/>
    </row>
    <row r="4987">
      <c r="A4987" s="1"/>
    </row>
    <row r="4988">
      <c r="A4988" s="1"/>
    </row>
    <row r="4989">
      <c r="A4989" s="1"/>
    </row>
    <row r="4990">
      <c r="A4990" s="1"/>
    </row>
    <row r="4991">
      <c r="A4991" s="1"/>
    </row>
    <row r="4992">
      <c r="A4992" s="1"/>
    </row>
    <row r="4993">
      <c r="A4993" s="1"/>
    </row>
    <row r="4994">
      <c r="A4994" s="1"/>
    </row>
    <row r="4995">
      <c r="A4995" s="1"/>
    </row>
    <row r="4996">
      <c r="A4996" s="1"/>
    </row>
    <row r="4997">
      <c r="A4997" s="1"/>
    </row>
    <row r="4998">
      <c r="A4998" s="1"/>
    </row>
    <row r="4999">
      <c r="A4999" s="1"/>
    </row>
    <row r="5000">
      <c r="A5000" s="1"/>
    </row>
    <row r="5001">
      <c r="A5001" s="1"/>
    </row>
    <row r="5002">
      <c r="A5002" s="1"/>
    </row>
    <row r="5003">
      <c r="A5003" s="1"/>
    </row>
    <row r="5004">
      <c r="A5004" s="1"/>
    </row>
    <row r="5005">
      <c r="A5005" s="1"/>
    </row>
    <row r="5006">
      <c r="A5006" s="1"/>
    </row>
    <row r="5007">
      <c r="A5007" s="1"/>
    </row>
    <row r="5008">
      <c r="A5008" s="1"/>
    </row>
    <row r="5009">
      <c r="A5009" s="1"/>
    </row>
    <row r="5010">
      <c r="A5010" s="1"/>
    </row>
    <row r="5011">
      <c r="A5011" s="1"/>
    </row>
    <row r="5012">
      <c r="A5012" s="1"/>
    </row>
    <row r="5013">
      <c r="A5013" s="1"/>
    </row>
    <row r="5014">
      <c r="A5014" s="1"/>
    </row>
    <row r="5015">
      <c r="A5015" s="1"/>
    </row>
    <row r="5016">
      <c r="A5016" s="1"/>
    </row>
    <row r="5017">
      <c r="A5017" s="1"/>
    </row>
    <row r="5018">
      <c r="A5018" s="1"/>
    </row>
    <row r="5019">
      <c r="A5019" s="1"/>
    </row>
    <row r="5020">
      <c r="A5020" s="1"/>
    </row>
    <row r="5021">
      <c r="A5021" s="1"/>
    </row>
    <row r="5022">
      <c r="A5022" s="1"/>
    </row>
    <row r="5023">
      <c r="A5023" s="1"/>
    </row>
    <row r="5024">
      <c r="A5024" s="1"/>
    </row>
    <row r="5025">
      <c r="A5025" s="1"/>
    </row>
    <row r="5026">
      <c r="A5026" s="1"/>
    </row>
    <row r="5027">
      <c r="A5027" s="1"/>
    </row>
    <row r="5028">
      <c r="A5028" s="1"/>
    </row>
    <row r="5029">
      <c r="A5029" s="1"/>
    </row>
    <row r="5030">
      <c r="A5030" s="1"/>
    </row>
    <row r="5031">
      <c r="A5031" s="1"/>
    </row>
    <row r="5032">
      <c r="A5032" s="1"/>
    </row>
    <row r="5033">
      <c r="A5033" s="1"/>
    </row>
    <row r="5034">
      <c r="A5034" s="1"/>
    </row>
    <row r="5035">
      <c r="A5035" s="1"/>
    </row>
    <row r="5036">
      <c r="A5036" s="1"/>
    </row>
    <row r="5037">
      <c r="A5037" s="1"/>
    </row>
    <row r="5038">
      <c r="A5038" s="1"/>
    </row>
    <row r="5039">
      <c r="A5039" s="1"/>
    </row>
    <row r="5040">
      <c r="A5040" s="1"/>
    </row>
    <row r="5041">
      <c r="A5041" s="1"/>
    </row>
    <row r="5042">
      <c r="A5042" s="1"/>
    </row>
    <row r="5043">
      <c r="A5043" s="1"/>
    </row>
    <row r="5044">
      <c r="A5044" s="1"/>
    </row>
    <row r="5045">
      <c r="A5045" s="1"/>
    </row>
    <row r="5046">
      <c r="A5046" s="1"/>
    </row>
    <row r="5047">
      <c r="A5047" s="1"/>
    </row>
    <row r="5048">
      <c r="A5048" s="1"/>
    </row>
    <row r="5049">
      <c r="A5049" s="1"/>
    </row>
    <row r="5050">
      <c r="A5050" s="1"/>
    </row>
    <row r="5051">
      <c r="A5051" s="1"/>
    </row>
    <row r="5052">
      <c r="A5052" s="1"/>
    </row>
    <row r="5053">
      <c r="A5053" s="1"/>
    </row>
    <row r="5054">
      <c r="A5054" s="1"/>
    </row>
    <row r="5055">
      <c r="A5055" s="1"/>
    </row>
    <row r="5056">
      <c r="A5056" s="1"/>
    </row>
    <row r="5057">
      <c r="A5057" s="1"/>
    </row>
    <row r="5058">
      <c r="A5058" s="1"/>
    </row>
    <row r="5059">
      <c r="A5059" s="1"/>
    </row>
    <row r="5060">
      <c r="A5060" s="1"/>
    </row>
    <row r="5061">
      <c r="A5061" s="1"/>
    </row>
    <row r="5062">
      <c r="A5062" s="1"/>
    </row>
    <row r="5063">
      <c r="A5063" s="1"/>
    </row>
    <row r="5064">
      <c r="A5064" s="1"/>
    </row>
    <row r="5065">
      <c r="A5065" s="1"/>
    </row>
    <row r="5066">
      <c r="A5066" s="1"/>
    </row>
    <row r="5067">
      <c r="A5067" s="1"/>
    </row>
    <row r="5068">
      <c r="A5068" s="1"/>
    </row>
    <row r="5069">
      <c r="A5069" s="1"/>
    </row>
    <row r="5070">
      <c r="A5070" s="1"/>
    </row>
    <row r="5071">
      <c r="A5071" s="1"/>
    </row>
    <row r="5072">
      <c r="A5072" s="1"/>
    </row>
    <row r="5073">
      <c r="A5073" s="1"/>
    </row>
    <row r="5074">
      <c r="A5074" s="1"/>
    </row>
    <row r="5075">
      <c r="A5075" s="1"/>
    </row>
    <row r="5076">
      <c r="A5076" s="1"/>
    </row>
    <row r="5077">
      <c r="A5077" s="1"/>
    </row>
    <row r="5078">
      <c r="A5078" s="1"/>
    </row>
    <row r="5079">
      <c r="A5079" s="1"/>
    </row>
    <row r="5080">
      <c r="A5080" s="1"/>
    </row>
    <row r="5081">
      <c r="A5081" s="1"/>
    </row>
    <row r="5082">
      <c r="A5082" s="1"/>
    </row>
    <row r="5083">
      <c r="A5083" s="1"/>
    </row>
    <row r="5084">
      <c r="A5084" s="1"/>
    </row>
    <row r="5085">
      <c r="A5085" s="1"/>
    </row>
    <row r="5086">
      <c r="A5086" s="1"/>
    </row>
    <row r="5087">
      <c r="A5087" s="1"/>
    </row>
    <row r="5088">
      <c r="A5088" s="1"/>
    </row>
    <row r="5089">
      <c r="A5089" s="1"/>
    </row>
    <row r="5090">
      <c r="A5090" s="1"/>
    </row>
    <row r="5091">
      <c r="A5091" s="1"/>
    </row>
    <row r="5092">
      <c r="A5092" s="1"/>
    </row>
    <row r="5093">
      <c r="A5093" s="1"/>
    </row>
    <row r="5094">
      <c r="A5094" s="1"/>
    </row>
    <row r="5095">
      <c r="A5095" s="1"/>
    </row>
    <row r="5096">
      <c r="A5096" s="1"/>
    </row>
    <row r="5097">
      <c r="A5097" s="1"/>
    </row>
    <row r="5098">
      <c r="A5098" s="1"/>
    </row>
    <row r="5099">
      <c r="A5099" s="1"/>
    </row>
    <row r="5100">
      <c r="A5100" s="1"/>
    </row>
    <row r="5101">
      <c r="A5101" s="1"/>
    </row>
    <row r="5102">
      <c r="A5102" s="1"/>
    </row>
    <row r="5103">
      <c r="A5103" s="1"/>
    </row>
    <row r="5104">
      <c r="A5104" s="1"/>
    </row>
    <row r="5105">
      <c r="A5105" s="1"/>
    </row>
    <row r="5106">
      <c r="A5106" s="1"/>
    </row>
    <row r="5107">
      <c r="A5107" s="1"/>
    </row>
    <row r="5108">
      <c r="A5108" s="1"/>
    </row>
    <row r="5109">
      <c r="A5109" s="1"/>
    </row>
    <row r="5110">
      <c r="A5110" s="1"/>
    </row>
    <row r="5111">
      <c r="A5111" s="1"/>
    </row>
    <row r="5112">
      <c r="A5112" s="1"/>
    </row>
    <row r="5113">
      <c r="A5113" s="1"/>
    </row>
    <row r="5114">
      <c r="A5114" s="1"/>
    </row>
    <row r="5115">
      <c r="A5115" s="1"/>
    </row>
    <row r="5116">
      <c r="A5116" s="1"/>
    </row>
    <row r="5117">
      <c r="A5117" s="1"/>
    </row>
    <row r="5118">
      <c r="A5118" s="1"/>
    </row>
    <row r="5119">
      <c r="A5119" s="1"/>
    </row>
    <row r="5120">
      <c r="A5120" s="1"/>
    </row>
    <row r="5121">
      <c r="A5121" s="1"/>
    </row>
    <row r="5122">
      <c r="A5122" s="1"/>
    </row>
    <row r="5123">
      <c r="A5123" s="1"/>
    </row>
    <row r="5124">
      <c r="A5124" s="1"/>
    </row>
    <row r="5125">
      <c r="A5125" s="1"/>
    </row>
    <row r="5126">
      <c r="A5126" s="1"/>
    </row>
    <row r="5127">
      <c r="A5127" s="1"/>
    </row>
    <row r="5128">
      <c r="A5128" s="1"/>
    </row>
    <row r="5129">
      <c r="A5129" s="1"/>
    </row>
    <row r="5130">
      <c r="A5130" s="1"/>
    </row>
    <row r="5131">
      <c r="A5131" s="1"/>
    </row>
    <row r="5132">
      <c r="A5132" s="1"/>
    </row>
    <row r="5133">
      <c r="A5133" s="1"/>
    </row>
    <row r="5134">
      <c r="A5134" s="1"/>
    </row>
    <row r="5135">
      <c r="A5135" s="1"/>
    </row>
    <row r="5136">
      <c r="A5136" s="1"/>
    </row>
    <row r="5137">
      <c r="A5137" s="1"/>
    </row>
    <row r="5138">
      <c r="A5138" s="1"/>
    </row>
    <row r="5139">
      <c r="A5139" s="1"/>
    </row>
    <row r="5140">
      <c r="A5140" s="1"/>
    </row>
    <row r="5141">
      <c r="A5141" s="1"/>
    </row>
    <row r="5142">
      <c r="A5142" s="1"/>
    </row>
    <row r="5143">
      <c r="A5143" s="1"/>
    </row>
    <row r="5144">
      <c r="A5144" s="1"/>
    </row>
    <row r="5145">
      <c r="A5145" s="1"/>
    </row>
    <row r="5146">
      <c r="A5146" s="1"/>
    </row>
    <row r="5147">
      <c r="A5147" s="1"/>
    </row>
    <row r="5148">
      <c r="A5148" s="1"/>
    </row>
    <row r="5149">
      <c r="A5149" s="1"/>
    </row>
    <row r="5150">
      <c r="A5150" s="1"/>
    </row>
    <row r="5151">
      <c r="A5151" s="1"/>
    </row>
    <row r="5152">
      <c r="A5152" s="1"/>
    </row>
    <row r="5153">
      <c r="A5153" s="1"/>
    </row>
    <row r="5154">
      <c r="A5154" s="1"/>
    </row>
    <row r="5155">
      <c r="A5155" s="1"/>
    </row>
    <row r="5156">
      <c r="A5156" s="1"/>
    </row>
    <row r="5157">
      <c r="A5157" s="1"/>
    </row>
    <row r="5158">
      <c r="A5158" s="1"/>
    </row>
    <row r="5159">
      <c r="A5159" s="1"/>
    </row>
    <row r="5160">
      <c r="A5160" s="1"/>
    </row>
    <row r="5161">
      <c r="A5161" s="1"/>
    </row>
    <row r="5162">
      <c r="A5162" s="1"/>
    </row>
    <row r="5163">
      <c r="A5163" s="1"/>
    </row>
    <row r="5164">
      <c r="A5164" s="1"/>
    </row>
    <row r="5165">
      <c r="A5165" s="1"/>
    </row>
    <row r="5166">
      <c r="A5166" s="1"/>
    </row>
    <row r="5167">
      <c r="A5167" s="1"/>
    </row>
    <row r="5168">
      <c r="A5168" s="1"/>
    </row>
    <row r="5169">
      <c r="A5169" s="1"/>
    </row>
    <row r="5170">
      <c r="A5170" s="1"/>
    </row>
    <row r="5171">
      <c r="A5171" s="1"/>
    </row>
    <row r="5172">
      <c r="A5172" s="1"/>
    </row>
    <row r="5173">
      <c r="A5173" s="1"/>
    </row>
    <row r="5174">
      <c r="A5174" s="1"/>
    </row>
    <row r="5175">
      <c r="A5175" s="1"/>
    </row>
    <row r="5176">
      <c r="A5176" s="1"/>
    </row>
    <row r="5177">
      <c r="A5177" s="1"/>
    </row>
    <row r="5178">
      <c r="A5178" s="1"/>
    </row>
    <row r="5179">
      <c r="A5179" s="1"/>
    </row>
    <row r="5180">
      <c r="A5180" s="1"/>
    </row>
    <row r="5181">
      <c r="A5181" s="1"/>
    </row>
    <row r="5182">
      <c r="A5182" s="1"/>
    </row>
    <row r="5183">
      <c r="A5183" s="1"/>
    </row>
    <row r="5184">
      <c r="A5184" s="1"/>
    </row>
    <row r="5185">
      <c r="A5185" s="1"/>
    </row>
    <row r="5186">
      <c r="A5186" s="1"/>
    </row>
    <row r="5187">
      <c r="A5187" s="1"/>
    </row>
    <row r="5188">
      <c r="A5188" s="1"/>
    </row>
    <row r="5189">
      <c r="A5189" s="1"/>
    </row>
    <row r="5190">
      <c r="A5190" s="1"/>
    </row>
    <row r="5191">
      <c r="A5191" s="1"/>
    </row>
    <row r="5192">
      <c r="A5192" s="1"/>
    </row>
    <row r="5193">
      <c r="A5193" s="1"/>
    </row>
    <row r="5194">
      <c r="A5194" s="1"/>
    </row>
    <row r="5195">
      <c r="A5195" s="1"/>
    </row>
    <row r="5196">
      <c r="A5196" s="1"/>
    </row>
    <row r="5197">
      <c r="A5197" s="1"/>
    </row>
    <row r="5198">
      <c r="A5198" s="1"/>
    </row>
    <row r="5199">
      <c r="A5199" s="1"/>
    </row>
    <row r="5200">
      <c r="A5200" s="1"/>
    </row>
    <row r="5201">
      <c r="A5201" s="1"/>
    </row>
    <row r="5202">
      <c r="A5202" s="1"/>
    </row>
    <row r="5203">
      <c r="A5203" s="1"/>
    </row>
    <row r="5204">
      <c r="A5204" s="1"/>
    </row>
    <row r="5205">
      <c r="A5205" s="1"/>
    </row>
    <row r="5206">
      <c r="A5206" s="1"/>
    </row>
    <row r="5207">
      <c r="A5207" s="1"/>
    </row>
    <row r="5208">
      <c r="A5208" s="1"/>
    </row>
    <row r="5209">
      <c r="A5209" s="1"/>
    </row>
    <row r="5210">
      <c r="A5210" s="1"/>
    </row>
    <row r="5211">
      <c r="A5211" s="1"/>
    </row>
    <row r="5212">
      <c r="A5212" s="1"/>
    </row>
    <row r="5213">
      <c r="A5213" s="1"/>
    </row>
    <row r="5214">
      <c r="A5214" s="1"/>
    </row>
    <row r="5215">
      <c r="A5215" s="1"/>
    </row>
    <row r="5216">
      <c r="A5216" s="1"/>
    </row>
    <row r="5217">
      <c r="A5217" s="1"/>
    </row>
    <row r="5218">
      <c r="A5218" s="1"/>
    </row>
    <row r="5219">
      <c r="A5219" s="1"/>
    </row>
    <row r="5220">
      <c r="A5220" s="1"/>
    </row>
    <row r="5221">
      <c r="A5221" s="1"/>
    </row>
    <row r="5222">
      <c r="A5222" s="1"/>
    </row>
    <row r="5223">
      <c r="A5223" s="1"/>
    </row>
    <row r="5224">
      <c r="A5224" s="1"/>
    </row>
    <row r="5225">
      <c r="A5225" s="1"/>
    </row>
    <row r="5226">
      <c r="A5226" s="1"/>
    </row>
    <row r="5227">
      <c r="A5227" s="1"/>
    </row>
    <row r="5228">
      <c r="A5228" s="1"/>
    </row>
    <row r="5229">
      <c r="A5229" s="1"/>
    </row>
    <row r="5230">
      <c r="A5230" s="1"/>
    </row>
    <row r="5231">
      <c r="A5231" s="1"/>
    </row>
    <row r="5232">
      <c r="A5232" s="1"/>
    </row>
    <row r="5233">
      <c r="A5233" s="1"/>
    </row>
    <row r="5234">
      <c r="A5234" s="1"/>
    </row>
    <row r="5235">
      <c r="A5235" s="1"/>
    </row>
    <row r="5236">
      <c r="A5236" s="1"/>
    </row>
    <row r="5237">
      <c r="A5237" s="1"/>
    </row>
    <row r="5238">
      <c r="A5238" s="1"/>
    </row>
    <row r="5239">
      <c r="A5239" s="1"/>
    </row>
    <row r="5240">
      <c r="A5240" s="1"/>
    </row>
    <row r="5241">
      <c r="A5241" s="1"/>
    </row>
    <row r="5242">
      <c r="A5242" s="1"/>
    </row>
    <row r="5243">
      <c r="A5243" s="1"/>
    </row>
    <row r="5244">
      <c r="A5244" s="1"/>
    </row>
    <row r="5245">
      <c r="A5245" s="1"/>
    </row>
    <row r="5246">
      <c r="A5246" s="1"/>
    </row>
    <row r="5247">
      <c r="A5247" s="1"/>
    </row>
    <row r="5248">
      <c r="A5248" s="1"/>
    </row>
    <row r="5249">
      <c r="A5249" s="1"/>
    </row>
    <row r="5250">
      <c r="A5250" s="1"/>
    </row>
    <row r="5251">
      <c r="A5251" s="1"/>
    </row>
    <row r="5252">
      <c r="A5252" s="1"/>
    </row>
    <row r="5253">
      <c r="A5253" s="1"/>
    </row>
    <row r="5254">
      <c r="A5254" s="1"/>
    </row>
    <row r="5255">
      <c r="A5255" s="1"/>
    </row>
    <row r="5256">
      <c r="A5256" s="1"/>
    </row>
    <row r="5257">
      <c r="A5257" s="1"/>
    </row>
    <row r="5258">
      <c r="A5258" s="1"/>
    </row>
    <row r="5259">
      <c r="A5259" s="1"/>
    </row>
    <row r="5260">
      <c r="A5260" s="1"/>
    </row>
    <row r="5261">
      <c r="A5261" s="1"/>
    </row>
    <row r="5262">
      <c r="A5262" s="1"/>
    </row>
    <row r="5263">
      <c r="A5263" s="1"/>
    </row>
    <row r="5264">
      <c r="A5264" s="1"/>
    </row>
    <row r="5265">
      <c r="A5265" s="1"/>
    </row>
    <row r="5266">
      <c r="A5266" s="1"/>
    </row>
    <row r="5267">
      <c r="A5267" s="1"/>
    </row>
    <row r="5268">
      <c r="A5268" s="1"/>
    </row>
    <row r="5269">
      <c r="A5269" s="1"/>
    </row>
    <row r="5270">
      <c r="A5270" s="1"/>
    </row>
    <row r="5271">
      <c r="A5271" s="1"/>
    </row>
    <row r="5272">
      <c r="A5272" s="1"/>
    </row>
    <row r="5273">
      <c r="A5273" s="1"/>
    </row>
    <row r="5274">
      <c r="A5274" s="1"/>
    </row>
    <row r="5275">
      <c r="A5275" s="1"/>
    </row>
    <row r="5276">
      <c r="A5276" s="1"/>
    </row>
    <row r="5277">
      <c r="A5277" s="1"/>
    </row>
    <row r="5278">
      <c r="A5278" s="1"/>
    </row>
    <row r="5279">
      <c r="A5279" s="1"/>
    </row>
    <row r="5280">
      <c r="A5280" s="1"/>
    </row>
    <row r="5281">
      <c r="A5281" s="1"/>
    </row>
    <row r="5282">
      <c r="A5282" s="1"/>
    </row>
    <row r="5283">
      <c r="A5283" s="1"/>
    </row>
    <row r="5284">
      <c r="A5284" s="1"/>
    </row>
    <row r="5285">
      <c r="A5285" s="1"/>
    </row>
    <row r="5286">
      <c r="A5286" s="1"/>
    </row>
    <row r="5287">
      <c r="A5287" s="1"/>
    </row>
    <row r="5288">
      <c r="A5288" s="1"/>
    </row>
    <row r="5289">
      <c r="A5289" s="1"/>
    </row>
    <row r="5290">
      <c r="A5290" s="1"/>
    </row>
    <row r="5291">
      <c r="A5291" s="1"/>
    </row>
    <row r="5292">
      <c r="A5292" s="1"/>
    </row>
    <row r="5293">
      <c r="A5293" s="1"/>
    </row>
    <row r="5294">
      <c r="A5294" s="1"/>
    </row>
    <row r="5295">
      <c r="A5295" s="1"/>
    </row>
    <row r="5296">
      <c r="A5296" s="1"/>
    </row>
    <row r="5297">
      <c r="A5297" s="1"/>
    </row>
    <row r="5298">
      <c r="A5298" s="1"/>
    </row>
    <row r="5299">
      <c r="A5299" s="1"/>
    </row>
    <row r="5300">
      <c r="A5300" s="1"/>
    </row>
    <row r="5301">
      <c r="A5301" s="1"/>
    </row>
    <row r="5302">
      <c r="A5302" s="1"/>
    </row>
    <row r="5303">
      <c r="A5303" s="1"/>
    </row>
    <row r="5304">
      <c r="A5304" s="1"/>
    </row>
    <row r="5305">
      <c r="A5305" s="1"/>
    </row>
    <row r="5306">
      <c r="A5306" s="1"/>
    </row>
    <row r="5307">
      <c r="A5307" s="1"/>
    </row>
    <row r="5308">
      <c r="A5308" s="1"/>
    </row>
    <row r="5309">
      <c r="A5309" s="1"/>
    </row>
    <row r="5310">
      <c r="A5310" s="1"/>
    </row>
    <row r="5311">
      <c r="A5311" s="1"/>
    </row>
    <row r="5312">
      <c r="A5312" s="1"/>
    </row>
    <row r="5313">
      <c r="A5313" s="1"/>
    </row>
    <row r="5314">
      <c r="A5314" s="1"/>
    </row>
    <row r="5315">
      <c r="A5315" s="1"/>
    </row>
    <row r="5316">
      <c r="A5316" s="1"/>
    </row>
    <row r="5317">
      <c r="A5317" s="1"/>
    </row>
    <row r="5318">
      <c r="A5318" s="1"/>
    </row>
    <row r="5319">
      <c r="A5319" s="1"/>
    </row>
    <row r="5320">
      <c r="A5320" s="1"/>
    </row>
    <row r="5321">
      <c r="A5321" s="1"/>
    </row>
    <row r="5322">
      <c r="A5322" s="1"/>
    </row>
    <row r="5323">
      <c r="A5323" s="1"/>
    </row>
    <row r="5324">
      <c r="A5324" s="1"/>
    </row>
    <row r="5325">
      <c r="A5325" s="1"/>
    </row>
    <row r="5326">
      <c r="A5326" s="1"/>
    </row>
    <row r="5327">
      <c r="A5327" s="1"/>
    </row>
    <row r="5328">
      <c r="A5328" s="1"/>
    </row>
    <row r="5329">
      <c r="A5329" s="1"/>
    </row>
    <row r="5330">
      <c r="A5330" s="1"/>
    </row>
    <row r="5331">
      <c r="A5331" s="1"/>
    </row>
    <row r="5332">
      <c r="A5332" s="1"/>
    </row>
    <row r="5333">
      <c r="A5333" s="1"/>
    </row>
    <row r="5334">
      <c r="A5334" s="1"/>
    </row>
    <row r="5335">
      <c r="A5335" s="1"/>
    </row>
    <row r="5336">
      <c r="A5336" s="1"/>
    </row>
    <row r="5337">
      <c r="A5337" s="1"/>
    </row>
    <row r="5338">
      <c r="A5338" s="1"/>
    </row>
    <row r="5339">
      <c r="A5339" s="1"/>
    </row>
    <row r="5340">
      <c r="A5340" s="1"/>
    </row>
    <row r="5341">
      <c r="A5341" s="1"/>
    </row>
    <row r="5342">
      <c r="A5342" s="1"/>
    </row>
    <row r="5343">
      <c r="A5343" s="1"/>
    </row>
    <row r="5344">
      <c r="A5344" s="1"/>
    </row>
    <row r="5345">
      <c r="A5345" s="1"/>
    </row>
    <row r="5346">
      <c r="A5346" s="1"/>
    </row>
    <row r="5347">
      <c r="A5347" s="1"/>
    </row>
    <row r="5348">
      <c r="A5348" s="1"/>
    </row>
    <row r="5349">
      <c r="A5349" s="1"/>
    </row>
    <row r="5350">
      <c r="A5350" s="1"/>
    </row>
    <row r="5351">
      <c r="A5351" s="1"/>
    </row>
    <row r="5352">
      <c r="A5352" s="1"/>
    </row>
    <row r="5353">
      <c r="A5353" s="1"/>
    </row>
    <row r="5354">
      <c r="A5354" s="1"/>
    </row>
    <row r="5355">
      <c r="A5355" s="1"/>
    </row>
    <row r="5356">
      <c r="A5356" s="1"/>
    </row>
    <row r="5357">
      <c r="A5357" s="1"/>
    </row>
    <row r="5358">
      <c r="A5358" s="1"/>
    </row>
    <row r="5359">
      <c r="A5359" s="1"/>
    </row>
    <row r="5360">
      <c r="A5360" s="1"/>
    </row>
    <row r="5361">
      <c r="A5361" s="1"/>
    </row>
    <row r="5362">
      <c r="A5362" s="1"/>
    </row>
    <row r="5363">
      <c r="A5363" s="1"/>
    </row>
    <row r="5364">
      <c r="A5364" s="1"/>
    </row>
    <row r="5365">
      <c r="A5365" s="1"/>
    </row>
    <row r="5366">
      <c r="A5366" s="1"/>
    </row>
    <row r="5367">
      <c r="A5367" s="1"/>
    </row>
    <row r="5368">
      <c r="A5368" s="1"/>
    </row>
    <row r="5369">
      <c r="A5369" s="1"/>
    </row>
    <row r="5370">
      <c r="A5370" s="1"/>
    </row>
    <row r="5371">
      <c r="A5371" s="1"/>
    </row>
    <row r="5372">
      <c r="A5372" s="1"/>
    </row>
    <row r="5373">
      <c r="A5373" s="1"/>
    </row>
    <row r="5374">
      <c r="A5374" s="1"/>
    </row>
    <row r="5375">
      <c r="A5375" s="1"/>
    </row>
    <row r="5376">
      <c r="A5376" s="1"/>
    </row>
    <row r="5377">
      <c r="A5377" s="1"/>
    </row>
    <row r="5378">
      <c r="A5378" s="1"/>
    </row>
    <row r="5379">
      <c r="A5379" s="1"/>
    </row>
    <row r="5380">
      <c r="A5380" s="1"/>
    </row>
    <row r="5381">
      <c r="A5381" s="1"/>
    </row>
    <row r="5382">
      <c r="A5382" s="1"/>
    </row>
    <row r="5383">
      <c r="A5383" s="1"/>
    </row>
    <row r="5384">
      <c r="A5384" s="1"/>
    </row>
    <row r="5385">
      <c r="A5385" s="1"/>
    </row>
    <row r="5386">
      <c r="A5386" s="1"/>
    </row>
    <row r="5387">
      <c r="A5387" s="1"/>
    </row>
    <row r="5388">
      <c r="A5388" s="1"/>
    </row>
    <row r="5389">
      <c r="A5389" s="1"/>
    </row>
    <row r="5390">
      <c r="A5390" s="1"/>
    </row>
    <row r="5391">
      <c r="A5391" s="1"/>
    </row>
    <row r="5392">
      <c r="A5392" s="1"/>
    </row>
    <row r="5393">
      <c r="A5393" s="1"/>
    </row>
    <row r="5394">
      <c r="A5394" s="1"/>
    </row>
    <row r="5395">
      <c r="A5395" s="1"/>
    </row>
    <row r="5396">
      <c r="A5396" s="1"/>
    </row>
    <row r="5397">
      <c r="A5397" s="1"/>
    </row>
    <row r="5398">
      <c r="A5398" s="1"/>
    </row>
    <row r="5399">
      <c r="A5399" s="1"/>
    </row>
    <row r="5400">
      <c r="A5400" s="1"/>
    </row>
    <row r="5401">
      <c r="A5401" s="1"/>
    </row>
    <row r="5402">
      <c r="A5402" s="1"/>
    </row>
    <row r="5403">
      <c r="A5403" s="1"/>
    </row>
    <row r="5404">
      <c r="A5404" s="1"/>
    </row>
    <row r="5405">
      <c r="A5405" s="1"/>
    </row>
    <row r="5406">
      <c r="A5406" s="1"/>
    </row>
    <row r="5407">
      <c r="A5407" s="1"/>
    </row>
    <row r="5408">
      <c r="A5408" s="1"/>
    </row>
    <row r="5409">
      <c r="A5409" s="1"/>
    </row>
    <row r="5410">
      <c r="A5410" s="1"/>
    </row>
    <row r="5411">
      <c r="A5411" s="1"/>
    </row>
    <row r="5412">
      <c r="A5412" s="1"/>
    </row>
    <row r="5413">
      <c r="A5413" s="1"/>
    </row>
    <row r="5414">
      <c r="A5414" s="1"/>
    </row>
    <row r="5415">
      <c r="A5415" s="1"/>
    </row>
    <row r="5416">
      <c r="A5416" s="1"/>
    </row>
    <row r="5417">
      <c r="A5417" s="1"/>
    </row>
    <row r="5418">
      <c r="A5418" s="1"/>
    </row>
    <row r="5419">
      <c r="A5419" s="1"/>
    </row>
    <row r="5420">
      <c r="A5420" s="1"/>
    </row>
    <row r="5421">
      <c r="A5421" s="1"/>
    </row>
    <row r="5422">
      <c r="A5422" s="1"/>
    </row>
    <row r="5423">
      <c r="A5423" s="1"/>
    </row>
    <row r="5424">
      <c r="A5424" s="1"/>
    </row>
    <row r="5425">
      <c r="A5425" s="1"/>
    </row>
    <row r="5426">
      <c r="A5426" s="1"/>
    </row>
    <row r="5427">
      <c r="A5427" s="1"/>
    </row>
    <row r="5428">
      <c r="A5428" s="1"/>
    </row>
    <row r="5429">
      <c r="A5429" s="1"/>
    </row>
    <row r="5430">
      <c r="A5430" s="1"/>
    </row>
    <row r="5431">
      <c r="A5431" s="1"/>
    </row>
    <row r="5432">
      <c r="A5432" s="1"/>
    </row>
    <row r="5433">
      <c r="A5433" s="1"/>
    </row>
    <row r="5434">
      <c r="A5434" s="1"/>
    </row>
    <row r="5435">
      <c r="A5435" s="1"/>
    </row>
    <row r="5436">
      <c r="A5436" s="1"/>
    </row>
    <row r="5437">
      <c r="A5437" s="1"/>
    </row>
    <row r="5438">
      <c r="A5438" s="1"/>
    </row>
    <row r="5439">
      <c r="A5439" s="1"/>
    </row>
    <row r="5440">
      <c r="A5440" s="1"/>
    </row>
    <row r="5441">
      <c r="A5441" s="1"/>
    </row>
    <row r="5442">
      <c r="A5442" s="1"/>
    </row>
    <row r="5443">
      <c r="A5443" s="1"/>
    </row>
    <row r="5444">
      <c r="A5444" s="1"/>
    </row>
    <row r="5445">
      <c r="A5445" s="1"/>
    </row>
    <row r="5446">
      <c r="A5446" s="1"/>
    </row>
    <row r="5447">
      <c r="A5447" s="1"/>
    </row>
    <row r="5448">
      <c r="A5448" s="1"/>
    </row>
    <row r="5449">
      <c r="A5449" s="1"/>
    </row>
    <row r="5450">
      <c r="A5450" s="1"/>
    </row>
    <row r="5451">
      <c r="A5451" s="1"/>
    </row>
    <row r="5452">
      <c r="A5452" s="1"/>
    </row>
    <row r="5453">
      <c r="A5453" s="1"/>
    </row>
    <row r="5454">
      <c r="A5454" s="1"/>
    </row>
    <row r="5455">
      <c r="A5455" s="1"/>
    </row>
    <row r="5456">
      <c r="A5456" s="1"/>
    </row>
    <row r="5457">
      <c r="A5457" s="1"/>
    </row>
    <row r="5458">
      <c r="A5458" s="1"/>
    </row>
    <row r="5459">
      <c r="A5459" s="1"/>
    </row>
    <row r="5460">
      <c r="A5460" s="1"/>
    </row>
    <row r="5461">
      <c r="A5461" s="1"/>
    </row>
    <row r="5462">
      <c r="A5462" s="1"/>
    </row>
    <row r="5463">
      <c r="A5463" s="1"/>
    </row>
    <row r="5464">
      <c r="A5464" s="1"/>
    </row>
    <row r="5465">
      <c r="A5465" s="1"/>
    </row>
    <row r="5466">
      <c r="A5466" s="1"/>
    </row>
    <row r="5467">
      <c r="A5467" s="1"/>
    </row>
    <row r="5468">
      <c r="A5468" s="1"/>
    </row>
    <row r="5469">
      <c r="A5469" s="1"/>
    </row>
    <row r="5470">
      <c r="A5470" s="1"/>
    </row>
    <row r="5471">
      <c r="A5471" s="1"/>
    </row>
    <row r="5472">
      <c r="A5472" s="1"/>
    </row>
    <row r="5473">
      <c r="A5473" s="1"/>
    </row>
    <row r="5474">
      <c r="A5474" s="1"/>
    </row>
    <row r="5475">
      <c r="A5475" s="1"/>
    </row>
    <row r="5476">
      <c r="A5476" s="1"/>
    </row>
    <row r="5477">
      <c r="A5477" s="1"/>
    </row>
    <row r="5478">
      <c r="A5478" s="1"/>
    </row>
    <row r="5479">
      <c r="A5479" s="1"/>
    </row>
    <row r="5480">
      <c r="A5480" s="1"/>
    </row>
    <row r="5481">
      <c r="A5481" s="1"/>
    </row>
    <row r="5482">
      <c r="A5482" s="1"/>
    </row>
    <row r="5483">
      <c r="A5483" s="1"/>
    </row>
    <row r="5484">
      <c r="A5484" s="1"/>
    </row>
    <row r="5485">
      <c r="A5485" s="1"/>
    </row>
    <row r="5486">
      <c r="A5486" s="1"/>
    </row>
    <row r="5487">
      <c r="A5487" s="1"/>
    </row>
    <row r="5488">
      <c r="A5488" s="1"/>
    </row>
    <row r="5489">
      <c r="A5489" s="1"/>
    </row>
    <row r="5490">
      <c r="A5490" s="1"/>
    </row>
    <row r="5491">
      <c r="A5491" s="1"/>
    </row>
    <row r="5492">
      <c r="A5492" s="1"/>
    </row>
    <row r="5493">
      <c r="A5493" s="1"/>
    </row>
    <row r="5494">
      <c r="A5494" s="1"/>
    </row>
    <row r="5495">
      <c r="A5495" s="1"/>
    </row>
    <row r="5496">
      <c r="A5496" s="1"/>
    </row>
    <row r="5497">
      <c r="A5497" s="1"/>
    </row>
    <row r="5498">
      <c r="A5498" s="1"/>
    </row>
    <row r="5499">
      <c r="A5499" s="1"/>
    </row>
    <row r="5500">
      <c r="A5500" s="1"/>
    </row>
    <row r="5501">
      <c r="A5501" s="1"/>
    </row>
    <row r="5502">
      <c r="A5502" s="1"/>
    </row>
    <row r="5503">
      <c r="A5503" s="1"/>
    </row>
    <row r="5504">
      <c r="A5504" s="1"/>
    </row>
    <row r="5505">
      <c r="A5505" s="1"/>
    </row>
    <row r="5506">
      <c r="A5506" s="1"/>
    </row>
    <row r="5507">
      <c r="A5507" s="1"/>
    </row>
    <row r="5508">
      <c r="A5508" s="1"/>
    </row>
    <row r="5509">
      <c r="A5509" s="1"/>
    </row>
    <row r="5510">
      <c r="A5510" s="1"/>
    </row>
    <row r="5511">
      <c r="A5511" s="1"/>
    </row>
    <row r="5512">
      <c r="A5512" s="1"/>
    </row>
    <row r="5513">
      <c r="A5513" s="1"/>
    </row>
    <row r="5514">
      <c r="A5514" s="1"/>
    </row>
    <row r="5515">
      <c r="A5515" s="1"/>
    </row>
    <row r="5516">
      <c r="A5516" s="1"/>
    </row>
    <row r="5517">
      <c r="A5517" s="1"/>
    </row>
    <row r="5518">
      <c r="A5518" s="1"/>
    </row>
    <row r="5519">
      <c r="A5519" s="1"/>
    </row>
    <row r="5520">
      <c r="A5520" s="1"/>
    </row>
    <row r="5521">
      <c r="A5521" s="1"/>
    </row>
    <row r="5522">
      <c r="A5522" s="1"/>
    </row>
    <row r="5523">
      <c r="A5523" s="1"/>
    </row>
    <row r="5524">
      <c r="A5524" s="1"/>
    </row>
    <row r="5525">
      <c r="A5525" s="1"/>
    </row>
    <row r="5526">
      <c r="A5526" s="1"/>
    </row>
    <row r="5527">
      <c r="A5527" s="1"/>
    </row>
    <row r="5528">
      <c r="A5528" s="1"/>
    </row>
    <row r="5529">
      <c r="A5529" s="1"/>
    </row>
    <row r="5530">
      <c r="A5530" s="1"/>
    </row>
    <row r="5531">
      <c r="A5531" s="1"/>
    </row>
    <row r="5532">
      <c r="A5532" s="1"/>
    </row>
    <row r="5533">
      <c r="A5533" s="1"/>
    </row>
    <row r="5534">
      <c r="A5534" s="1"/>
    </row>
    <row r="5535">
      <c r="A5535" s="1"/>
    </row>
    <row r="5536">
      <c r="A5536" s="1"/>
    </row>
    <row r="5537">
      <c r="A5537" s="1"/>
    </row>
    <row r="5538">
      <c r="A5538" s="1"/>
    </row>
    <row r="5539">
      <c r="A5539" s="1"/>
    </row>
    <row r="5540">
      <c r="A5540" s="1"/>
    </row>
    <row r="5541">
      <c r="A5541" s="1"/>
    </row>
    <row r="5542">
      <c r="A5542" s="1"/>
    </row>
    <row r="5543">
      <c r="A5543" s="1"/>
    </row>
    <row r="5544">
      <c r="A5544" s="1"/>
    </row>
    <row r="5545">
      <c r="A5545" s="1"/>
    </row>
    <row r="5546">
      <c r="A5546" s="1"/>
    </row>
    <row r="5547">
      <c r="A5547" s="1"/>
    </row>
    <row r="5548">
      <c r="A5548" s="1"/>
    </row>
    <row r="5549">
      <c r="A5549" s="1"/>
    </row>
    <row r="5550">
      <c r="A5550" s="1"/>
    </row>
    <row r="5551">
      <c r="A5551" s="1"/>
    </row>
    <row r="5552">
      <c r="A5552" s="1"/>
    </row>
    <row r="5553">
      <c r="A5553" s="1"/>
    </row>
    <row r="5554">
      <c r="A5554" s="1"/>
    </row>
    <row r="5555">
      <c r="A5555" s="1"/>
    </row>
    <row r="5556">
      <c r="A5556" s="1"/>
    </row>
    <row r="5557">
      <c r="A5557" s="1"/>
    </row>
    <row r="5558">
      <c r="A5558" s="1"/>
    </row>
    <row r="5559">
      <c r="A5559" s="1"/>
    </row>
    <row r="5560">
      <c r="A5560" s="1"/>
    </row>
    <row r="5561">
      <c r="A5561" s="1"/>
    </row>
    <row r="5562">
      <c r="A5562" s="1"/>
    </row>
    <row r="5563">
      <c r="A5563" s="1"/>
    </row>
    <row r="5564">
      <c r="A5564" s="1"/>
    </row>
    <row r="5565">
      <c r="A5565" s="1"/>
    </row>
    <row r="5566">
      <c r="A5566" s="1"/>
    </row>
    <row r="5567">
      <c r="A5567" s="1"/>
    </row>
    <row r="5568">
      <c r="A5568" s="1"/>
    </row>
    <row r="5569">
      <c r="A5569" s="1"/>
    </row>
    <row r="5570">
      <c r="A5570" s="1"/>
    </row>
    <row r="5571">
      <c r="A5571" s="1"/>
    </row>
    <row r="5572">
      <c r="A5572" s="1"/>
    </row>
    <row r="5573">
      <c r="A5573" s="1"/>
    </row>
    <row r="5574">
      <c r="A5574" s="1"/>
    </row>
    <row r="5575">
      <c r="A5575" s="1"/>
    </row>
    <row r="5576">
      <c r="A5576" s="1"/>
    </row>
    <row r="5577">
      <c r="A5577" s="1"/>
    </row>
    <row r="5578">
      <c r="A5578" s="1"/>
    </row>
    <row r="5579">
      <c r="A5579" s="1"/>
    </row>
    <row r="5580">
      <c r="A5580" s="1"/>
    </row>
    <row r="5581">
      <c r="A5581" s="1"/>
    </row>
    <row r="5582">
      <c r="A5582" s="1"/>
    </row>
    <row r="5583">
      <c r="A5583" s="1"/>
    </row>
    <row r="5584">
      <c r="A5584" s="1"/>
    </row>
    <row r="5585">
      <c r="A5585" s="1"/>
    </row>
    <row r="5586">
      <c r="A5586" s="1"/>
    </row>
    <row r="5587">
      <c r="A5587" s="1"/>
    </row>
    <row r="5588">
      <c r="A5588" s="1"/>
    </row>
    <row r="5589">
      <c r="A5589" s="1"/>
    </row>
    <row r="5590">
      <c r="A5590" s="1"/>
    </row>
    <row r="5591">
      <c r="A5591" s="1"/>
    </row>
    <row r="5592">
      <c r="A5592" s="1"/>
    </row>
    <row r="5593">
      <c r="A5593" s="1"/>
    </row>
    <row r="5594">
      <c r="A5594" s="1"/>
    </row>
    <row r="5595">
      <c r="A5595" s="1"/>
    </row>
    <row r="5596">
      <c r="A5596" s="1"/>
    </row>
    <row r="5597">
      <c r="A5597" s="1"/>
    </row>
    <row r="5598">
      <c r="A5598" s="1"/>
    </row>
    <row r="5599">
      <c r="A5599" s="1"/>
    </row>
    <row r="5600">
      <c r="A5600" s="1"/>
    </row>
    <row r="5601">
      <c r="A5601" s="1"/>
    </row>
    <row r="5602">
      <c r="A5602" s="1"/>
    </row>
    <row r="5603">
      <c r="A5603" s="1"/>
    </row>
    <row r="5604">
      <c r="A5604" s="1"/>
    </row>
    <row r="5605">
      <c r="A5605" s="1"/>
    </row>
    <row r="5606">
      <c r="A5606" s="1"/>
    </row>
    <row r="5607">
      <c r="A5607" s="1"/>
    </row>
    <row r="5608">
      <c r="A5608" s="1"/>
    </row>
    <row r="5609">
      <c r="A5609" s="1"/>
    </row>
    <row r="5610">
      <c r="A5610" s="1"/>
    </row>
    <row r="5611">
      <c r="A5611" s="1"/>
    </row>
    <row r="5612">
      <c r="A5612" s="1"/>
    </row>
    <row r="5613">
      <c r="A5613" s="1"/>
    </row>
    <row r="5614">
      <c r="A5614" s="1"/>
    </row>
    <row r="5615">
      <c r="A5615" s="1"/>
    </row>
    <row r="5616">
      <c r="A5616" s="1"/>
    </row>
    <row r="5617">
      <c r="A5617" s="1"/>
    </row>
    <row r="5618">
      <c r="A5618" s="1"/>
    </row>
    <row r="5619">
      <c r="A5619" s="1"/>
    </row>
    <row r="5620">
      <c r="A5620" s="1"/>
    </row>
    <row r="5621">
      <c r="A5621" s="1"/>
    </row>
    <row r="5622">
      <c r="A5622" s="1"/>
    </row>
    <row r="5623">
      <c r="A5623" s="1"/>
    </row>
    <row r="5624">
      <c r="A5624" s="1"/>
    </row>
    <row r="5625">
      <c r="A5625" s="1"/>
    </row>
    <row r="5626">
      <c r="A5626" s="1"/>
    </row>
    <row r="5627">
      <c r="A5627" s="1"/>
    </row>
    <row r="5628">
      <c r="A5628" s="1"/>
    </row>
    <row r="5629">
      <c r="A5629" s="1"/>
    </row>
    <row r="5630">
      <c r="A5630" s="1"/>
    </row>
    <row r="5631">
      <c r="A5631" s="1"/>
    </row>
    <row r="5632">
      <c r="A5632" s="1"/>
    </row>
    <row r="5633">
      <c r="A5633" s="1"/>
    </row>
    <row r="5634">
      <c r="A5634" s="1"/>
    </row>
    <row r="5635">
      <c r="A5635" s="1"/>
    </row>
    <row r="5636">
      <c r="A5636" s="1"/>
    </row>
    <row r="5637">
      <c r="A5637" s="1"/>
    </row>
    <row r="5638">
      <c r="A5638" s="1"/>
    </row>
    <row r="5639">
      <c r="A5639" s="1"/>
    </row>
    <row r="5640">
      <c r="A5640" s="1"/>
    </row>
    <row r="5641">
      <c r="A5641" s="1"/>
    </row>
    <row r="5642">
      <c r="A5642" s="1"/>
    </row>
    <row r="5643">
      <c r="A5643" s="1"/>
    </row>
    <row r="5644">
      <c r="A5644" s="1"/>
    </row>
    <row r="5645">
      <c r="A5645" s="1"/>
    </row>
    <row r="5646">
      <c r="A5646" s="1"/>
    </row>
    <row r="5647">
      <c r="A5647" s="1"/>
    </row>
    <row r="5648">
      <c r="A5648" s="1"/>
    </row>
    <row r="5649">
      <c r="A5649" s="1"/>
    </row>
    <row r="5650">
      <c r="A5650" s="1"/>
    </row>
    <row r="5651">
      <c r="A5651" s="1"/>
    </row>
    <row r="5652">
      <c r="A5652" s="1"/>
    </row>
    <row r="5653">
      <c r="A5653" s="1"/>
    </row>
    <row r="5654">
      <c r="A5654" s="1"/>
    </row>
    <row r="5655">
      <c r="A5655" s="1"/>
    </row>
    <row r="5656">
      <c r="A5656" s="1"/>
    </row>
    <row r="5657">
      <c r="A5657" s="1"/>
    </row>
    <row r="5658">
      <c r="A5658" s="1"/>
    </row>
    <row r="5659">
      <c r="A5659" s="1"/>
    </row>
    <row r="5660">
      <c r="A5660" s="1"/>
    </row>
    <row r="5661">
      <c r="A5661" s="1"/>
    </row>
    <row r="5662">
      <c r="A5662" s="1"/>
    </row>
    <row r="5663">
      <c r="A5663" s="1"/>
    </row>
    <row r="5664">
      <c r="A5664" s="1"/>
    </row>
    <row r="5665">
      <c r="A5665" s="1"/>
    </row>
    <row r="5666">
      <c r="A5666" s="1"/>
    </row>
    <row r="5667">
      <c r="A5667" s="1"/>
    </row>
    <row r="5668">
      <c r="A5668" s="1"/>
    </row>
    <row r="5669">
      <c r="A5669" s="1"/>
    </row>
    <row r="5670">
      <c r="A5670" s="1"/>
    </row>
    <row r="5671">
      <c r="A5671" s="1"/>
    </row>
    <row r="5672">
      <c r="A5672" s="1"/>
    </row>
    <row r="5673">
      <c r="A5673" s="1"/>
    </row>
    <row r="5674">
      <c r="A5674" s="1"/>
    </row>
    <row r="5675">
      <c r="A5675" s="1"/>
    </row>
    <row r="5676">
      <c r="A5676" s="1"/>
    </row>
    <row r="5677">
      <c r="A5677" s="1"/>
    </row>
    <row r="5678">
      <c r="A5678" s="1"/>
    </row>
    <row r="5679">
      <c r="A5679" s="1"/>
    </row>
    <row r="5680">
      <c r="A5680" s="1"/>
    </row>
    <row r="5681">
      <c r="A5681" s="1"/>
    </row>
    <row r="5682">
      <c r="A5682" s="1"/>
    </row>
    <row r="5683">
      <c r="A5683" s="1"/>
    </row>
    <row r="5684">
      <c r="A5684" s="1"/>
    </row>
    <row r="5685">
      <c r="A5685" s="1"/>
    </row>
    <row r="5686">
      <c r="A5686" s="1"/>
    </row>
    <row r="5687">
      <c r="A5687" s="1"/>
    </row>
    <row r="5688">
      <c r="A5688" s="1"/>
    </row>
    <row r="5689">
      <c r="A5689" s="1"/>
    </row>
    <row r="5690">
      <c r="A5690" s="1"/>
    </row>
    <row r="5691">
      <c r="A5691" s="1"/>
    </row>
    <row r="5692">
      <c r="A5692" s="1"/>
    </row>
    <row r="5693">
      <c r="A5693" s="1"/>
    </row>
    <row r="5694">
      <c r="A5694" s="1"/>
    </row>
    <row r="5695">
      <c r="A5695" s="1"/>
    </row>
    <row r="5696">
      <c r="A5696" s="1"/>
    </row>
    <row r="5697">
      <c r="A5697" s="1"/>
    </row>
    <row r="5698">
      <c r="A5698" s="1"/>
    </row>
    <row r="5699">
      <c r="A5699" s="1"/>
    </row>
    <row r="5700">
      <c r="A5700" s="1"/>
    </row>
    <row r="5701">
      <c r="A5701" s="1"/>
    </row>
    <row r="5702">
      <c r="A5702" s="1"/>
    </row>
    <row r="5703">
      <c r="A5703" s="1"/>
    </row>
    <row r="5704">
      <c r="A5704" s="1"/>
    </row>
    <row r="5705">
      <c r="A5705" s="1"/>
    </row>
    <row r="5706">
      <c r="A5706" s="1"/>
    </row>
    <row r="5707">
      <c r="A5707" s="1"/>
    </row>
    <row r="5708">
      <c r="A5708" s="1"/>
    </row>
    <row r="5709">
      <c r="A5709" s="1"/>
    </row>
    <row r="5710">
      <c r="A5710" s="1"/>
    </row>
    <row r="5711">
      <c r="A5711" s="1"/>
    </row>
    <row r="5712">
      <c r="A5712" s="1"/>
    </row>
    <row r="5713">
      <c r="A5713" s="1"/>
    </row>
    <row r="5714">
      <c r="A5714" s="1"/>
    </row>
    <row r="5715">
      <c r="A5715" s="1"/>
    </row>
    <row r="5716">
      <c r="A5716" s="1"/>
    </row>
    <row r="5717">
      <c r="A5717" s="1"/>
    </row>
    <row r="5718">
      <c r="A5718" s="1"/>
    </row>
    <row r="5719">
      <c r="A5719" s="1"/>
    </row>
    <row r="5720">
      <c r="A5720" s="1"/>
    </row>
    <row r="5721">
      <c r="A5721" s="1"/>
    </row>
    <row r="5722">
      <c r="A5722" s="1"/>
    </row>
    <row r="5723">
      <c r="A5723" s="1"/>
    </row>
    <row r="5724">
      <c r="A5724" s="1"/>
    </row>
    <row r="5725">
      <c r="A5725" s="1"/>
    </row>
    <row r="5726">
      <c r="A5726" s="1"/>
    </row>
    <row r="5727">
      <c r="A5727" s="1"/>
    </row>
    <row r="5728">
      <c r="A5728" s="1"/>
    </row>
    <row r="5729">
      <c r="A5729" s="1"/>
    </row>
    <row r="5730">
      <c r="A5730" s="1"/>
    </row>
    <row r="5731">
      <c r="A5731" s="1"/>
    </row>
    <row r="5732">
      <c r="A5732" s="1"/>
    </row>
    <row r="5733">
      <c r="A5733" s="1"/>
    </row>
    <row r="5734">
      <c r="A5734" s="1"/>
    </row>
    <row r="5735">
      <c r="A5735" s="1"/>
    </row>
    <row r="5736">
      <c r="A5736" s="1"/>
    </row>
    <row r="5737">
      <c r="A5737" s="1"/>
    </row>
    <row r="5738">
      <c r="A5738" s="1"/>
    </row>
    <row r="5739">
      <c r="A5739" s="1"/>
    </row>
    <row r="5740">
      <c r="A5740" s="1"/>
    </row>
    <row r="5741">
      <c r="A5741" s="1"/>
    </row>
    <row r="5742">
      <c r="A5742" s="1"/>
    </row>
    <row r="5743">
      <c r="A5743" s="1"/>
    </row>
    <row r="5744">
      <c r="A5744" s="1"/>
    </row>
    <row r="5745">
      <c r="A5745" s="1"/>
    </row>
    <row r="5746">
      <c r="A5746" s="1"/>
    </row>
    <row r="5747">
      <c r="A5747" s="1"/>
    </row>
    <row r="5748">
      <c r="A5748" s="1"/>
    </row>
    <row r="5749">
      <c r="A5749" s="1"/>
    </row>
    <row r="5750">
      <c r="A5750" s="1"/>
    </row>
    <row r="5751">
      <c r="A5751" s="1"/>
    </row>
    <row r="5752">
      <c r="A5752" s="1"/>
    </row>
    <row r="5753">
      <c r="A5753" s="1"/>
    </row>
    <row r="5754">
      <c r="A5754" s="1"/>
    </row>
    <row r="5755">
      <c r="A5755" s="1"/>
    </row>
    <row r="5756">
      <c r="A5756" s="1"/>
    </row>
    <row r="5757">
      <c r="A5757" s="1"/>
    </row>
    <row r="5758">
      <c r="A5758" s="1"/>
    </row>
    <row r="5759">
      <c r="A5759" s="1"/>
    </row>
    <row r="5760">
      <c r="A5760" s="1"/>
    </row>
    <row r="5761">
      <c r="A5761" s="1"/>
    </row>
    <row r="5762">
      <c r="A5762" s="1"/>
    </row>
    <row r="5763">
      <c r="A5763" s="1"/>
    </row>
    <row r="5764">
      <c r="A5764" s="1"/>
    </row>
    <row r="5765">
      <c r="A5765" s="1"/>
    </row>
    <row r="5766">
      <c r="A5766" s="1"/>
    </row>
    <row r="5767">
      <c r="A5767" s="1"/>
    </row>
    <row r="5768">
      <c r="A5768" s="1"/>
    </row>
    <row r="5769">
      <c r="A5769" s="1"/>
    </row>
    <row r="5770">
      <c r="A5770" s="1"/>
    </row>
    <row r="5771">
      <c r="A5771" s="1"/>
    </row>
    <row r="5772">
      <c r="A5772" s="1"/>
    </row>
    <row r="5773">
      <c r="A5773" s="1"/>
    </row>
    <row r="5774">
      <c r="A5774" s="1"/>
    </row>
    <row r="5775">
      <c r="A5775" s="1"/>
    </row>
    <row r="5776">
      <c r="A5776" s="1"/>
    </row>
    <row r="5777">
      <c r="A5777" s="1"/>
    </row>
    <row r="5778">
      <c r="A5778" s="1"/>
    </row>
    <row r="5779">
      <c r="A5779" s="1"/>
    </row>
    <row r="5780">
      <c r="A5780" s="1"/>
    </row>
    <row r="5781">
      <c r="A5781" s="1"/>
    </row>
    <row r="5782">
      <c r="A5782" s="1"/>
    </row>
    <row r="5783">
      <c r="A5783" s="1"/>
    </row>
    <row r="5784">
      <c r="A5784" s="1"/>
    </row>
    <row r="5785">
      <c r="A5785" s="1"/>
    </row>
    <row r="5786">
      <c r="A5786" s="1"/>
    </row>
    <row r="5787">
      <c r="A5787" s="1"/>
    </row>
    <row r="5788">
      <c r="A5788" s="1"/>
    </row>
    <row r="5789">
      <c r="A5789" s="1"/>
    </row>
    <row r="5790">
      <c r="A5790" s="1"/>
    </row>
    <row r="5791">
      <c r="A5791" s="1"/>
    </row>
    <row r="5792">
      <c r="A5792" s="1"/>
    </row>
    <row r="5793">
      <c r="A5793" s="1"/>
    </row>
    <row r="5794">
      <c r="A5794" s="1"/>
    </row>
    <row r="5795">
      <c r="A5795" s="1"/>
    </row>
    <row r="5796">
      <c r="A5796" s="1"/>
    </row>
    <row r="5797">
      <c r="A5797" s="1"/>
    </row>
    <row r="5798">
      <c r="A5798" s="1"/>
    </row>
    <row r="5799">
      <c r="A5799" s="1"/>
    </row>
    <row r="5800">
      <c r="A5800" s="1"/>
    </row>
    <row r="5801">
      <c r="A5801" s="1"/>
    </row>
    <row r="5802">
      <c r="A5802" s="1"/>
    </row>
    <row r="5803">
      <c r="A5803" s="1"/>
    </row>
    <row r="5804">
      <c r="A5804" s="1"/>
    </row>
    <row r="5805">
      <c r="A5805" s="1"/>
    </row>
    <row r="5806">
      <c r="A5806" s="1"/>
    </row>
    <row r="5807">
      <c r="A5807" s="1"/>
    </row>
    <row r="5808">
      <c r="A5808" s="1"/>
    </row>
    <row r="5809">
      <c r="A5809" s="1"/>
    </row>
    <row r="5810">
      <c r="A5810" s="1"/>
    </row>
    <row r="5811">
      <c r="A5811" s="1"/>
    </row>
    <row r="5812">
      <c r="A5812" s="1"/>
    </row>
    <row r="5813">
      <c r="A5813" s="1"/>
    </row>
    <row r="5814">
      <c r="A5814" s="1"/>
    </row>
    <row r="5815">
      <c r="A5815" s="1"/>
    </row>
    <row r="5816">
      <c r="A5816" s="1"/>
    </row>
    <row r="5817">
      <c r="A5817" s="1"/>
    </row>
    <row r="5818">
      <c r="A5818" s="1"/>
    </row>
    <row r="5819">
      <c r="A5819" s="1"/>
    </row>
    <row r="5820">
      <c r="A5820" s="1"/>
    </row>
    <row r="5821">
      <c r="A5821" s="1"/>
    </row>
    <row r="5822">
      <c r="A5822" s="1"/>
    </row>
    <row r="5823">
      <c r="A5823" s="1"/>
    </row>
    <row r="5824">
      <c r="A5824" s="1"/>
    </row>
    <row r="5825">
      <c r="A5825" s="1"/>
    </row>
    <row r="5826">
      <c r="A5826" s="1"/>
    </row>
    <row r="5827">
      <c r="A5827" s="1"/>
    </row>
    <row r="5828">
      <c r="A5828" s="1"/>
    </row>
    <row r="5829">
      <c r="A5829" s="1"/>
    </row>
    <row r="5830">
      <c r="A5830" s="1"/>
    </row>
    <row r="5831">
      <c r="A5831" s="1"/>
    </row>
    <row r="5832">
      <c r="A5832" s="1"/>
    </row>
    <row r="5833">
      <c r="A5833" s="1"/>
    </row>
    <row r="5834">
      <c r="A5834" s="1"/>
    </row>
    <row r="5835">
      <c r="A5835" s="1"/>
    </row>
    <row r="5836">
      <c r="A5836" s="1"/>
    </row>
    <row r="5837">
      <c r="A5837" s="1"/>
    </row>
    <row r="5838">
      <c r="A5838" s="1"/>
    </row>
    <row r="5839">
      <c r="A5839" s="1"/>
    </row>
    <row r="5840">
      <c r="A5840" s="1"/>
    </row>
    <row r="5841">
      <c r="A5841" s="1"/>
    </row>
    <row r="5842">
      <c r="A5842" s="1"/>
    </row>
    <row r="5843">
      <c r="A5843" s="1"/>
    </row>
    <row r="5844">
      <c r="A5844" s="1"/>
    </row>
    <row r="5845">
      <c r="A5845" s="1"/>
    </row>
    <row r="5846">
      <c r="A5846" s="1"/>
    </row>
    <row r="5847">
      <c r="A5847" s="1"/>
    </row>
    <row r="5848">
      <c r="A5848" s="1"/>
    </row>
    <row r="5849">
      <c r="A5849" s="1"/>
    </row>
    <row r="5850">
      <c r="A5850" s="1"/>
    </row>
    <row r="5851">
      <c r="A5851" s="1"/>
    </row>
    <row r="5852">
      <c r="A5852" s="1"/>
    </row>
    <row r="5853">
      <c r="A5853" s="1"/>
    </row>
    <row r="5854">
      <c r="A5854" s="1"/>
    </row>
    <row r="5855">
      <c r="A5855" s="1"/>
    </row>
    <row r="5856">
      <c r="A5856" s="1"/>
    </row>
    <row r="5857">
      <c r="A5857" s="1"/>
    </row>
    <row r="5858">
      <c r="A5858" s="1"/>
    </row>
    <row r="5859">
      <c r="A5859" s="1"/>
    </row>
    <row r="5860">
      <c r="A5860" s="1"/>
    </row>
    <row r="5861">
      <c r="A5861" s="1"/>
    </row>
    <row r="5862">
      <c r="A5862" s="1"/>
    </row>
    <row r="5863">
      <c r="A5863" s="1"/>
    </row>
    <row r="5864">
      <c r="A5864" s="1"/>
    </row>
    <row r="5865">
      <c r="A5865" s="1"/>
    </row>
    <row r="5866">
      <c r="A5866" s="1"/>
    </row>
    <row r="5867">
      <c r="A5867" s="1"/>
    </row>
    <row r="5868">
      <c r="A5868" s="1"/>
    </row>
    <row r="5869">
      <c r="A5869" s="1"/>
    </row>
    <row r="5870">
      <c r="A5870" s="1"/>
    </row>
    <row r="5871">
      <c r="A5871" s="1"/>
    </row>
    <row r="5872">
      <c r="A5872" s="1"/>
    </row>
    <row r="5873">
      <c r="A5873" s="1"/>
    </row>
    <row r="5874">
      <c r="A5874" s="1"/>
    </row>
    <row r="5875">
      <c r="A5875" s="1"/>
    </row>
    <row r="5876">
      <c r="A5876" s="1"/>
    </row>
    <row r="5877">
      <c r="A5877" s="1"/>
    </row>
    <row r="5878">
      <c r="A5878" s="1"/>
    </row>
    <row r="5879">
      <c r="A5879" s="1"/>
    </row>
    <row r="5880">
      <c r="A5880" s="1"/>
    </row>
    <row r="5881">
      <c r="A5881" s="1"/>
    </row>
    <row r="5882">
      <c r="A5882" s="1"/>
    </row>
    <row r="5883">
      <c r="A5883" s="1"/>
    </row>
    <row r="5884">
      <c r="A5884" s="1"/>
    </row>
    <row r="5885">
      <c r="A5885" s="1"/>
    </row>
    <row r="5886">
      <c r="A5886" s="1"/>
    </row>
    <row r="5887">
      <c r="A5887" s="1"/>
    </row>
    <row r="5888">
      <c r="A5888" s="1"/>
    </row>
    <row r="5889">
      <c r="A5889" s="1"/>
    </row>
    <row r="5890">
      <c r="A5890" s="1"/>
    </row>
    <row r="5891">
      <c r="A5891" s="1"/>
    </row>
    <row r="5892">
      <c r="A5892" s="1"/>
    </row>
    <row r="5893">
      <c r="A5893" s="1"/>
    </row>
    <row r="5894">
      <c r="A5894" s="1"/>
    </row>
    <row r="5895">
      <c r="A5895" s="1"/>
    </row>
    <row r="5896">
      <c r="A5896" s="1"/>
    </row>
    <row r="5897">
      <c r="A5897" s="1"/>
    </row>
    <row r="5898">
      <c r="A5898" s="1"/>
    </row>
    <row r="5899">
      <c r="A5899" s="1"/>
    </row>
    <row r="5900">
      <c r="A5900" s="1"/>
    </row>
    <row r="5901">
      <c r="A5901" s="1"/>
    </row>
    <row r="5902">
      <c r="A5902" s="1"/>
    </row>
    <row r="5903">
      <c r="A5903" s="1"/>
    </row>
    <row r="5904">
      <c r="A5904" s="1"/>
    </row>
    <row r="5905">
      <c r="A5905" s="1"/>
    </row>
    <row r="5906">
      <c r="A5906" s="1"/>
    </row>
    <row r="5907">
      <c r="A5907" s="1"/>
    </row>
    <row r="5908">
      <c r="A5908" s="1"/>
    </row>
    <row r="5909">
      <c r="A5909" s="1"/>
    </row>
    <row r="5910">
      <c r="A5910" s="1"/>
    </row>
    <row r="5911">
      <c r="A5911" s="1"/>
    </row>
    <row r="5912">
      <c r="A5912" s="1"/>
    </row>
    <row r="5913">
      <c r="A5913" s="1"/>
    </row>
    <row r="5914">
      <c r="A5914" s="1"/>
    </row>
    <row r="5915">
      <c r="A5915" s="1"/>
    </row>
    <row r="5916">
      <c r="A5916" s="1"/>
    </row>
    <row r="5917">
      <c r="A5917" s="1"/>
    </row>
    <row r="5918">
      <c r="A5918" s="1"/>
    </row>
    <row r="5919">
      <c r="A5919" s="1"/>
    </row>
    <row r="5920">
      <c r="A5920" s="1"/>
    </row>
    <row r="5921">
      <c r="A5921" s="1"/>
    </row>
    <row r="5922">
      <c r="A5922" s="1"/>
    </row>
    <row r="5923">
      <c r="A5923" s="1"/>
    </row>
    <row r="5924">
      <c r="A5924" s="1"/>
    </row>
    <row r="5925">
      <c r="A5925" s="1"/>
    </row>
    <row r="5926">
      <c r="A5926" s="1"/>
    </row>
    <row r="5927">
      <c r="A5927" s="1"/>
    </row>
    <row r="5928">
      <c r="A5928" s="1"/>
    </row>
    <row r="5929">
      <c r="A5929" s="1"/>
    </row>
    <row r="5930">
      <c r="A5930" s="1"/>
    </row>
    <row r="5931">
      <c r="A5931" s="1"/>
    </row>
    <row r="5932">
      <c r="A5932" s="1"/>
    </row>
    <row r="5933">
      <c r="A5933" s="1"/>
    </row>
    <row r="5934">
      <c r="A5934" s="1"/>
    </row>
    <row r="5935">
      <c r="A5935" s="1"/>
    </row>
    <row r="5936">
      <c r="A5936" s="1"/>
    </row>
    <row r="5937">
      <c r="A5937" s="1"/>
    </row>
    <row r="5938">
      <c r="A5938" s="1"/>
    </row>
    <row r="5939">
      <c r="A5939" s="1"/>
    </row>
    <row r="5940">
      <c r="A5940" s="1"/>
    </row>
    <row r="5941">
      <c r="A5941" s="1"/>
    </row>
    <row r="5942">
      <c r="A5942" s="1"/>
    </row>
    <row r="5943">
      <c r="A5943" s="1"/>
    </row>
    <row r="5944">
      <c r="A5944" s="1"/>
    </row>
    <row r="5945">
      <c r="A5945" s="1"/>
    </row>
    <row r="5946">
      <c r="A5946" s="1"/>
    </row>
    <row r="5947">
      <c r="A5947" s="1"/>
    </row>
    <row r="5948">
      <c r="A5948" s="1"/>
    </row>
    <row r="5949">
      <c r="A5949" s="1"/>
    </row>
    <row r="5950">
      <c r="A5950" s="1"/>
    </row>
    <row r="5951">
      <c r="A5951" s="1"/>
    </row>
    <row r="5952">
      <c r="A5952" s="1"/>
    </row>
    <row r="5953">
      <c r="A5953" s="1"/>
    </row>
    <row r="5954">
      <c r="A5954" s="1"/>
    </row>
    <row r="5955">
      <c r="A5955" s="1"/>
    </row>
    <row r="5956">
      <c r="A5956" s="1"/>
    </row>
    <row r="5957">
      <c r="A5957" s="1"/>
    </row>
    <row r="5958">
      <c r="A5958" s="1"/>
    </row>
    <row r="5959">
      <c r="A5959" s="1"/>
    </row>
    <row r="5960">
      <c r="A5960" s="1"/>
    </row>
    <row r="5961">
      <c r="A5961" s="1"/>
    </row>
    <row r="5962">
      <c r="A5962" s="1"/>
    </row>
    <row r="5963">
      <c r="A5963" s="1"/>
    </row>
    <row r="5964">
      <c r="A5964" s="1"/>
    </row>
    <row r="5965">
      <c r="A5965" s="1"/>
    </row>
    <row r="5966">
      <c r="A5966" s="1"/>
    </row>
    <row r="5967">
      <c r="A5967" s="1"/>
    </row>
    <row r="5968">
      <c r="A5968" s="1"/>
    </row>
    <row r="5969">
      <c r="A5969" s="1"/>
    </row>
    <row r="5970">
      <c r="A5970" s="1"/>
    </row>
    <row r="5971">
      <c r="A5971" s="1"/>
    </row>
    <row r="5972">
      <c r="A5972" s="1"/>
    </row>
    <row r="5973">
      <c r="A5973" s="1"/>
    </row>
    <row r="5974">
      <c r="A5974" s="1"/>
    </row>
    <row r="5975">
      <c r="A5975" s="1"/>
    </row>
    <row r="5976">
      <c r="A5976" s="1"/>
    </row>
    <row r="5977">
      <c r="A5977" s="1"/>
    </row>
    <row r="5978">
      <c r="A5978" s="1"/>
    </row>
    <row r="5979">
      <c r="A5979" s="1"/>
    </row>
    <row r="5980">
      <c r="A5980" s="1"/>
    </row>
    <row r="5981">
      <c r="A5981" s="1"/>
    </row>
    <row r="5982">
      <c r="A5982" s="1"/>
    </row>
    <row r="5983">
      <c r="A5983" s="1"/>
    </row>
    <row r="5984">
      <c r="A5984" s="1"/>
    </row>
    <row r="5985">
      <c r="A5985" s="1"/>
    </row>
    <row r="5986">
      <c r="A5986" s="1"/>
    </row>
    <row r="5987">
      <c r="A5987" s="1"/>
    </row>
    <row r="5988">
      <c r="A5988" s="1"/>
    </row>
    <row r="5989">
      <c r="A5989" s="1"/>
    </row>
    <row r="5990">
      <c r="A5990" s="1"/>
    </row>
    <row r="5991">
      <c r="A5991" s="1"/>
    </row>
    <row r="5992">
      <c r="A5992" s="1"/>
    </row>
    <row r="5993">
      <c r="A5993" s="1"/>
    </row>
    <row r="5994">
      <c r="A5994" s="1"/>
    </row>
    <row r="5995">
      <c r="A5995" s="1"/>
    </row>
    <row r="5996">
      <c r="A5996" s="1"/>
    </row>
    <row r="5997">
      <c r="A5997" s="1"/>
    </row>
    <row r="5998">
      <c r="A5998" s="1"/>
    </row>
    <row r="5999">
      <c r="A5999" s="1"/>
    </row>
    <row r="6000">
      <c r="A6000" s="1"/>
    </row>
    <row r="6001">
      <c r="A6001" s="1"/>
    </row>
    <row r="6002">
      <c r="A6002" s="1"/>
    </row>
    <row r="6003">
      <c r="A6003" s="1"/>
    </row>
    <row r="6004">
      <c r="A6004" s="1"/>
    </row>
    <row r="6005">
      <c r="A6005" s="1"/>
    </row>
    <row r="6006">
      <c r="A6006" s="1"/>
    </row>
    <row r="6007">
      <c r="A6007" s="1"/>
    </row>
    <row r="6008">
      <c r="A6008" s="1"/>
    </row>
    <row r="6009">
      <c r="A6009" s="1"/>
    </row>
    <row r="6010">
      <c r="A6010" s="1"/>
    </row>
    <row r="6011">
      <c r="A6011" s="1"/>
    </row>
    <row r="6012">
      <c r="A6012" s="1"/>
    </row>
    <row r="6013">
      <c r="A6013" s="1"/>
    </row>
    <row r="6014">
      <c r="A6014" s="1"/>
    </row>
    <row r="6015">
      <c r="A6015" s="1"/>
    </row>
    <row r="6016">
      <c r="A6016" s="1"/>
    </row>
    <row r="6017">
      <c r="A6017" s="1"/>
    </row>
    <row r="6018">
      <c r="A6018" s="1"/>
    </row>
    <row r="6019">
      <c r="A6019" s="1"/>
    </row>
    <row r="6020">
      <c r="A6020" s="1"/>
    </row>
    <row r="6021">
      <c r="A6021" s="1"/>
    </row>
    <row r="6022">
      <c r="A6022" s="1"/>
    </row>
    <row r="6023">
      <c r="A6023" s="1"/>
    </row>
    <row r="6024">
      <c r="A6024" s="1"/>
    </row>
    <row r="6025">
      <c r="A6025" s="1"/>
    </row>
    <row r="6026">
      <c r="A6026" s="1"/>
    </row>
    <row r="6027">
      <c r="A6027" s="1"/>
    </row>
    <row r="6028">
      <c r="A6028" s="1"/>
    </row>
    <row r="6029">
      <c r="A6029" s="1"/>
    </row>
    <row r="6030">
      <c r="A6030" s="1"/>
    </row>
    <row r="6031">
      <c r="A6031" s="1"/>
    </row>
    <row r="6032">
      <c r="A6032" s="1"/>
    </row>
    <row r="6033">
      <c r="A6033" s="1"/>
    </row>
    <row r="6034">
      <c r="A6034" s="1"/>
    </row>
    <row r="6035">
      <c r="A6035" s="1"/>
    </row>
    <row r="6036">
      <c r="A6036" s="1"/>
    </row>
    <row r="6037">
      <c r="A6037" s="1"/>
    </row>
    <row r="6038">
      <c r="A6038" s="1"/>
    </row>
    <row r="6039">
      <c r="A6039" s="1"/>
    </row>
    <row r="6040">
      <c r="A6040" s="1"/>
    </row>
    <row r="6041">
      <c r="A6041" s="1"/>
    </row>
    <row r="6042">
      <c r="A6042" s="1"/>
    </row>
    <row r="6043">
      <c r="A6043" s="1"/>
    </row>
    <row r="6044">
      <c r="A6044" s="1"/>
    </row>
    <row r="6045">
      <c r="A6045" s="1"/>
    </row>
    <row r="6046">
      <c r="A6046" s="1"/>
    </row>
    <row r="6047">
      <c r="A6047" s="1"/>
    </row>
    <row r="6048">
      <c r="A6048" s="1"/>
    </row>
    <row r="6049">
      <c r="A6049" s="1"/>
    </row>
    <row r="6050">
      <c r="A6050" s="1"/>
    </row>
    <row r="6051">
      <c r="A6051" s="1"/>
    </row>
    <row r="6052">
      <c r="A6052" s="1"/>
    </row>
    <row r="6053">
      <c r="A6053" s="1"/>
    </row>
    <row r="6054">
      <c r="A6054" s="1"/>
    </row>
    <row r="6055">
      <c r="A6055" s="1"/>
    </row>
    <row r="6056">
      <c r="A6056" s="1"/>
    </row>
    <row r="6057">
      <c r="A6057" s="1"/>
    </row>
    <row r="6058">
      <c r="A6058" s="1"/>
    </row>
    <row r="6059">
      <c r="A6059" s="1"/>
    </row>
    <row r="6060">
      <c r="A6060" s="1"/>
    </row>
    <row r="6061">
      <c r="A6061" s="1"/>
    </row>
    <row r="6062">
      <c r="A6062" s="1"/>
    </row>
    <row r="6063">
      <c r="A6063" s="1"/>
    </row>
    <row r="6064">
      <c r="A6064" s="1"/>
    </row>
    <row r="6065">
      <c r="A6065" s="1"/>
    </row>
    <row r="6066">
      <c r="A6066" s="1"/>
    </row>
    <row r="6067">
      <c r="A6067" s="1"/>
    </row>
    <row r="6068">
      <c r="A6068" s="1"/>
    </row>
    <row r="6069">
      <c r="A6069" s="1"/>
    </row>
    <row r="6070">
      <c r="A6070" s="1"/>
    </row>
    <row r="6071">
      <c r="A6071" s="1"/>
    </row>
    <row r="6072">
      <c r="A6072" s="1"/>
    </row>
    <row r="6073">
      <c r="A6073" s="1"/>
    </row>
    <row r="6074">
      <c r="A6074" s="1"/>
    </row>
    <row r="6075">
      <c r="A6075" s="1"/>
    </row>
    <row r="6076">
      <c r="A6076" s="1"/>
    </row>
    <row r="6077">
      <c r="A6077" s="1"/>
    </row>
    <row r="6078">
      <c r="A6078" s="1"/>
    </row>
    <row r="6079">
      <c r="A6079" s="1"/>
    </row>
    <row r="6080">
      <c r="A6080" s="1"/>
    </row>
    <row r="6081">
      <c r="A6081" s="1"/>
    </row>
    <row r="6082">
      <c r="A6082" s="1"/>
    </row>
    <row r="6083">
      <c r="A6083" s="1"/>
    </row>
    <row r="6084">
      <c r="A6084" s="1"/>
    </row>
    <row r="6085">
      <c r="A6085" s="1"/>
    </row>
    <row r="6086">
      <c r="A6086" s="1"/>
    </row>
    <row r="6087">
      <c r="A6087" s="1"/>
    </row>
    <row r="6088">
      <c r="A6088" s="1"/>
    </row>
    <row r="6089">
      <c r="A6089" s="1"/>
    </row>
    <row r="6090">
      <c r="A6090" s="1"/>
    </row>
    <row r="6091">
      <c r="A6091" s="1"/>
    </row>
    <row r="6092">
      <c r="A6092" s="1"/>
    </row>
    <row r="6093">
      <c r="A6093" s="1"/>
    </row>
    <row r="6094">
      <c r="A6094" s="1"/>
    </row>
    <row r="6095">
      <c r="A6095" s="1"/>
    </row>
    <row r="6096">
      <c r="A6096" s="1"/>
    </row>
    <row r="6097">
      <c r="A6097" s="1"/>
    </row>
    <row r="6098">
      <c r="A6098" s="1"/>
    </row>
    <row r="6099">
      <c r="A6099" s="1"/>
    </row>
    <row r="6100">
      <c r="A6100" s="1"/>
    </row>
    <row r="6101">
      <c r="A6101" s="1"/>
    </row>
    <row r="6102">
      <c r="A6102" s="1"/>
    </row>
    <row r="6103">
      <c r="A6103" s="1"/>
    </row>
    <row r="6104">
      <c r="A6104" s="1"/>
    </row>
    <row r="6105">
      <c r="A6105" s="1"/>
    </row>
    <row r="6106">
      <c r="A6106" s="1"/>
    </row>
    <row r="6107">
      <c r="A6107" s="1"/>
    </row>
    <row r="6108">
      <c r="A6108" s="1"/>
    </row>
    <row r="6109">
      <c r="A6109" s="1"/>
    </row>
    <row r="6110">
      <c r="A6110" s="1"/>
    </row>
    <row r="6111">
      <c r="A6111" s="1"/>
    </row>
    <row r="6112">
      <c r="A6112" s="1"/>
    </row>
    <row r="6113">
      <c r="A6113" s="1"/>
    </row>
    <row r="6114">
      <c r="A6114" s="1"/>
    </row>
    <row r="6115">
      <c r="A6115" s="1"/>
    </row>
    <row r="6116">
      <c r="A6116" s="1"/>
    </row>
    <row r="6117">
      <c r="A6117" s="1"/>
    </row>
    <row r="6118">
      <c r="A6118" s="1"/>
    </row>
    <row r="6119">
      <c r="A6119" s="1"/>
    </row>
    <row r="6120">
      <c r="A6120" s="1"/>
    </row>
    <row r="6121">
      <c r="A6121" s="1"/>
    </row>
    <row r="6122">
      <c r="A6122" s="1"/>
    </row>
    <row r="6123">
      <c r="A6123" s="1"/>
    </row>
    <row r="6124">
      <c r="A6124" s="1"/>
    </row>
    <row r="6125">
      <c r="A6125" s="1"/>
    </row>
    <row r="6126">
      <c r="A6126" s="1"/>
    </row>
    <row r="6127">
      <c r="A6127" s="1"/>
    </row>
    <row r="6128">
      <c r="A6128" s="1"/>
    </row>
    <row r="6129">
      <c r="A6129" s="1"/>
    </row>
    <row r="6130">
      <c r="A6130" s="1"/>
    </row>
    <row r="6131">
      <c r="A6131" s="1"/>
    </row>
    <row r="6132">
      <c r="A6132" s="1"/>
    </row>
    <row r="6133">
      <c r="A6133" s="1"/>
    </row>
    <row r="6134">
      <c r="A6134" s="1"/>
    </row>
    <row r="6135">
      <c r="A6135" s="1"/>
    </row>
    <row r="6136">
      <c r="A6136" s="1"/>
    </row>
    <row r="6137">
      <c r="A6137" s="1"/>
    </row>
    <row r="6138">
      <c r="A6138" s="1"/>
    </row>
    <row r="6139">
      <c r="A6139" s="1"/>
    </row>
    <row r="6140">
      <c r="A6140" s="1"/>
    </row>
    <row r="6141">
      <c r="A6141" s="1"/>
    </row>
    <row r="6142">
      <c r="A6142" s="1"/>
    </row>
    <row r="6143">
      <c r="A6143" s="1"/>
    </row>
    <row r="6144">
      <c r="A6144" s="1"/>
    </row>
    <row r="6145">
      <c r="A6145" s="1"/>
    </row>
    <row r="6146">
      <c r="A6146" s="1"/>
    </row>
    <row r="6147">
      <c r="A6147" s="1"/>
    </row>
    <row r="6148">
      <c r="A6148" s="1"/>
    </row>
    <row r="6149">
      <c r="A6149" s="1"/>
    </row>
    <row r="6150">
      <c r="A6150" s="1"/>
    </row>
    <row r="6151">
      <c r="A6151" s="1"/>
    </row>
    <row r="6152">
      <c r="A6152" s="1"/>
    </row>
    <row r="6153">
      <c r="A6153" s="1"/>
    </row>
    <row r="6154">
      <c r="A6154" s="1"/>
    </row>
    <row r="6155">
      <c r="A6155" s="1"/>
    </row>
    <row r="6156">
      <c r="A6156" s="1"/>
    </row>
    <row r="6157">
      <c r="A6157" s="1"/>
    </row>
    <row r="6158">
      <c r="A6158" s="1"/>
    </row>
    <row r="6159">
      <c r="A6159" s="1"/>
    </row>
    <row r="6160">
      <c r="A6160" s="1"/>
    </row>
    <row r="6161">
      <c r="A6161" s="1"/>
    </row>
    <row r="6162">
      <c r="A6162" s="1"/>
    </row>
    <row r="6163">
      <c r="A6163" s="1"/>
    </row>
    <row r="6164">
      <c r="A6164" s="1"/>
    </row>
    <row r="6165">
      <c r="A6165" s="1"/>
    </row>
    <row r="6166">
      <c r="A6166" s="1"/>
    </row>
    <row r="6167">
      <c r="A6167" s="1"/>
    </row>
    <row r="6168">
      <c r="A6168" s="1"/>
    </row>
    <row r="6169">
      <c r="A6169" s="1"/>
    </row>
    <row r="6170">
      <c r="A6170" s="1"/>
    </row>
    <row r="6171">
      <c r="A6171" s="1"/>
    </row>
    <row r="6172">
      <c r="A6172" s="1"/>
    </row>
    <row r="6173">
      <c r="A6173" s="1"/>
    </row>
    <row r="6174">
      <c r="A6174" s="1"/>
    </row>
    <row r="6175">
      <c r="A6175" s="1"/>
    </row>
    <row r="6176">
      <c r="A6176" s="1"/>
    </row>
    <row r="6177">
      <c r="A6177" s="1"/>
    </row>
    <row r="6178">
      <c r="A6178" s="1"/>
    </row>
    <row r="6179">
      <c r="A6179" s="1"/>
    </row>
    <row r="6180">
      <c r="A6180" s="1"/>
    </row>
    <row r="6181">
      <c r="A6181" s="1"/>
    </row>
    <row r="6182">
      <c r="A6182" s="1"/>
    </row>
    <row r="6183">
      <c r="A6183" s="1"/>
    </row>
    <row r="6184">
      <c r="A6184" s="1"/>
    </row>
    <row r="6185">
      <c r="A6185" s="1"/>
    </row>
    <row r="6186">
      <c r="A6186" s="1"/>
    </row>
    <row r="6187">
      <c r="A6187" s="1"/>
    </row>
    <row r="6188">
      <c r="A6188" s="1"/>
    </row>
    <row r="6189">
      <c r="A6189" s="1"/>
    </row>
    <row r="6190">
      <c r="A6190" s="1"/>
    </row>
    <row r="6191">
      <c r="A6191" s="1"/>
    </row>
    <row r="6192">
      <c r="A6192" s="1"/>
    </row>
    <row r="6193">
      <c r="A6193" s="1"/>
    </row>
    <row r="6194">
      <c r="A6194" s="1"/>
    </row>
    <row r="6195">
      <c r="A6195" s="1"/>
    </row>
    <row r="6196">
      <c r="A6196" s="1"/>
    </row>
    <row r="6197">
      <c r="A6197" s="1"/>
    </row>
    <row r="6198">
      <c r="A6198" s="1"/>
    </row>
    <row r="6199">
      <c r="A6199" s="1"/>
    </row>
    <row r="6200">
      <c r="A6200" s="1"/>
    </row>
    <row r="6201">
      <c r="A6201" s="1"/>
    </row>
    <row r="6202">
      <c r="A6202" s="1"/>
    </row>
    <row r="6203">
      <c r="A6203" s="1"/>
    </row>
    <row r="6204">
      <c r="A6204" s="1"/>
    </row>
    <row r="6205">
      <c r="A6205" s="1"/>
    </row>
    <row r="6206">
      <c r="A6206" s="1"/>
    </row>
    <row r="6207">
      <c r="A6207" s="1"/>
    </row>
    <row r="6208">
      <c r="A6208" s="1"/>
    </row>
    <row r="6209">
      <c r="A6209" s="1"/>
    </row>
    <row r="6210">
      <c r="A6210" s="1"/>
    </row>
    <row r="6211">
      <c r="A6211" s="1"/>
    </row>
    <row r="6212">
      <c r="A6212" s="1"/>
    </row>
    <row r="6213">
      <c r="A6213" s="1"/>
    </row>
    <row r="6214">
      <c r="A6214" s="1"/>
    </row>
    <row r="6215">
      <c r="A6215" s="1"/>
    </row>
    <row r="6216">
      <c r="A6216" s="1"/>
    </row>
    <row r="6217">
      <c r="A6217" s="1"/>
    </row>
    <row r="6218">
      <c r="A6218" s="1"/>
    </row>
    <row r="6219">
      <c r="A6219" s="1"/>
    </row>
    <row r="6220">
      <c r="A6220" s="1"/>
    </row>
    <row r="6221">
      <c r="A6221" s="1"/>
    </row>
    <row r="6222">
      <c r="A6222" s="1"/>
    </row>
    <row r="6223">
      <c r="A6223" s="1"/>
    </row>
    <row r="6224">
      <c r="A6224" s="1"/>
    </row>
    <row r="6225">
      <c r="A6225" s="1"/>
    </row>
    <row r="6226">
      <c r="A6226" s="1"/>
    </row>
    <row r="6227">
      <c r="A6227" s="1"/>
    </row>
    <row r="6228">
      <c r="A6228" s="1"/>
    </row>
    <row r="6229">
      <c r="A6229" s="1"/>
    </row>
    <row r="6230">
      <c r="A6230" s="1"/>
    </row>
    <row r="6231">
      <c r="A6231" s="1"/>
    </row>
    <row r="6232">
      <c r="A6232" s="1"/>
    </row>
    <row r="6233">
      <c r="A6233" s="1"/>
    </row>
    <row r="6234">
      <c r="A6234" s="1"/>
    </row>
    <row r="6235">
      <c r="A6235" s="1"/>
    </row>
    <row r="6236">
      <c r="A6236" s="1"/>
    </row>
    <row r="6237">
      <c r="A6237" s="1"/>
    </row>
    <row r="6238">
      <c r="A6238" s="1"/>
    </row>
    <row r="6239">
      <c r="A6239" s="1"/>
    </row>
    <row r="6240">
      <c r="A6240" s="1"/>
    </row>
    <row r="6241">
      <c r="A6241" s="1"/>
    </row>
    <row r="6242">
      <c r="A6242" s="1"/>
    </row>
    <row r="6243">
      <c r="A6243" s="1"/>
    </row>
    <row r="6244">
      <c r="A6244" s="1"/>
    </row>
    <row r="6245">
      <c r="A6245" s="1"/>
    </row>
    <row r="6246">
      <c r="A6246" s="1"/>
    </row>
    <row r="6247">
      <c r="A6247" s="1"/>
    </row>
    <row r="6248">
      <c r="A6248" s="1"/>
    </row>
    <row r="6249">
      <c r="A6249" s="1"/>
    </row>
    <row r="6250">
      <c r="A6250" s="1"/>
    </row>
    <row r="6251">
      <c r="A6251" s="1"/>
    </row>
    <row r="6252">
      <c r="A6252" s="1"/>
    </row>
    <row r="6253">
      <c r="A6253" s="1"/>
    </row>
    <row r="6254">
      <c r="A6254" s="1"/>
    </row>
    <row r="6255">
      <c r="A6255" s="1"/>
    </row>
    <row r="6256">
      <c r="A6256" s="1"/>
    </row>
    <row r="6257">
      <c r="A6257" s="1"/>
    </row>
    <row r="6258">
      <c r="A6258" s="1"/>
    </row>
    <row r="6259">
      <c r="A6259" s="1"/>
    </row>
    <row r="6260">
      <c r="A6260" s="1"/>
    </row>
    <row r="6261">
      <c r="A6261" s="1"/>
    </row>
    <row r="6262">
      <c r="A6262" s="1"/>
    </row>
    <row r="6263">
      <c r="A6263" s="1"/>
    </row>
    <row r="6264">
      <c r="A6264" s="1"/>
    </row>
    <row r="6265">
      <c r="A6265" s="1"/>
    </row>
    <row r="6266">
      <c r="A6266" s="1"/>
    </row>
    <row r="6267">
      <c r="A6267" s="1"/>
    </row>
    <row r="6268">
      <c r="A6268" s="1"/>
    </row>
    <row r="6269">
      <c r="A6269" s="1"/>
    </row>
    <row r="6270">
      <c r="A6270" s="1"/>
    </row>
    <row r="6271">
      <c r="A6271" s="1"/>
    </row>
    <row r="6272">
      <c r="A6272" s="1"/>
    </row>
    <row r="6273">
      <c r="A6273" s="1"/>
    </row>
    <row r="6274">
      <c r="A6274" s="1"/>
    </row>
    <row r="6275">
      <c r="A6275" s="1"/>
    </row>
    <row r="6276">
      <c r="A6276" s="1"/>
    </row>
    <row r="6277">
      <c r="A6277" s="1"/>
    </row>
    <row r="6278">
      <c r="A6278" s="1"/>
    </row>
    <row r="6279">
      <c r="A6279" s="1"/>
    </row>
    <row r="6280">
      <c r="A6280" s="1"/>
    </row>
    <row r="6281">
      <c r="A6281" s="1"/>
    </row>
    <row r="6282">
      <c r="A6282" s="1"/>
    </row>
    <row r="6283">
      <c r="A6283" s="1"/>
    </row>
    <row r="6284">
      <c r="A6284" s="1"/>
    </row>
    <row r="6285">
      <c r="A6285" s="1"/>
    </row>
    <row r="6286">
      <c r="A6286" s="1"/>
    </row>
    <row r="6287">
      <c r="A6287" s="1"/>
    </row>
    <row r="6288">
      <c r="A6288" s="1"/>
    </row>
    <row r="6289">
      <c r="A6289" s="1"/>
    </row>
    <row r="6290">
      <c r="A6290" s="1"/>
    </row>
    <row r="6291">
      <c r="A6291" s="1"/>
    </row>
    <row r="6292">
      <c r="A6292" s="1"/>
    </row>
    <row r="6293">
      <c r="A6293" s="1"/>
    </row>
    <row r="6294">
      <c r="A6294" s="1"/>
    </row>
    <row r="6295">
      <c r="A6295" s="1"/>
    </row>
    <row r="6296">
      <c r="A6296" s="1"/>
    </row>
    <row r="6297">
      <c r="A6297" s="1"/>
    </row>
    <row r="6298">
      <c r="A6298" s="1"/>
    </row>
    <row r="6299">
      <c r="A6299" s="1"/>
    </row>
    <row r="6300">
      <c r="A6300" s="1"/>
    </row>
    <row r="6301">
      <c r="A6301" s="1"/>
    </row>
    <row r="6302">
      <c r="A6302" s="1"/>
    </row>
    <row r="6303">
      <c r="A6303" s="1"/>
    </row>
    <row r="6304">
      <c r="A6304" s="1"/>
    </row>
    <row r="6305">
      <c r="A6305" s="1"/>
    </row>
    <row r="6306">
      <c r="A6306" s="1"/>
    </row>
    <row r="6307">
      <c r="A6307" s="1"/>
    </row>
    <row r="6308">
      <c r="A6308" s="1"/>
    </row>
    <row r="6309">
      <c r="A6309" s="1"/>
    </row>
    <row r="6310">
      <c r="A6310" s="1"/>
    </row>
    <row r="6311">
      <c r="A6311" s="1"/>
    </row>
    <row r="6312">
      <c r="A6312" s="1"/>
    </row>
    <row r="6313">
      <c r="A6313" s="1"/>
    </row>
    <row r="6314">
      <c r="A6314" s="1"/>
    </row>
    <row r="6315">
      <c r="A6315" s="1"/>
    </row>
    <row r="6316">
      <c r="A6316" s="1"/>
    </row>
    <row r="6317">
      <c r="A6317" s="1"/>
    </row>
    <row r="6318">
      <c r="A6318" s="1"/>
    </row>
    <row r="6319">
      <c r="A6319" s="1"/>
    </row>
    <row r="6320">
      <c r="A6320" s="1"/>
    </row>
    <row r="6321">
      <c r="A6321" s="1"/>
    </row>
    <row r="6322">
      <c r="A6322" s="1"/>
    </row>
    <row r="6323">
      <c r="A6323" s="1"/>
    </row>
    <row r="6324">
      <c r="A6324" s="1"/>
    </row>
    <row r="6325">
      <c r="A6325" s="1"/>
    </row>
    <row r="6326">
      <c r="A6326" s="1"/>
    </row>
    <row r="6327">
      <c r="A6327" s="1"/>
    </row>
    <row r="6328">
      <c r="A6328" s="1"/>
    </row>
    <row r="6329">
      <c r="A6329" s="1"/>
    </row>
    <row r="6330">
      <c r="A6330" s="1"/>
    </row>
    <row r="6331">
      <c r="A6331" s="1"/>
    </row>
    <row r="6332">
      <c r="A6332" s="1"/>
    </row>
    <row r="6333">
      <c r="A6333" s="1"/>
    </row>
    <row r="6334">
      <c r="A6334" s="1"/>
    </row>
    <row r="6335">
      <c r="A6335" s="1"/>
    </row>
    <row r="6336">
      <c r="A6336" s="1"/>
    </row>
    <row r="6337">
      <c r="A6337" s="1"/>
    </row>
    <row r="6338">
      <c r="A6338" s="1"/>
    </row>
    <row r="6339">
      <c r="A6339" s="1"/>
    </row>
    <row r="6340">
      <c r="A6340" s="1"/>
    </row>
    <row r="6341">
      <c r="A6341" s="1"/>
    </row>
    <row r="6342">
      <c r="A6342" s="1"/>
    </row>
    <row r="6343">
      <c r="A6343" s="1"/>
    </row>
    <row r="6344">
      <c r="A6344" s="1"/>
    </row>
    <row r="6345">
      <c r="A6345" s="1"/>
    </row>
    <row r="6346">
      <c r="A6346" s="1"/>
    </row>
    <row r="6347">
      <c r="A6347" s="1"/>
    </row>
    <row r="6348">
      <c r="A6348" s="1"/>
    </row>
    <row r="6349">
      <c r="A6349" s="1"/>
    </row>
    <row r="6350">
      <c r="A6350" s="1"/>
    </row>
    <row r="6351">
      <c r="A6351" s="1"/>
    </row>
    <row r="6352">
      <c r="A6352" s="1"/>
    </row>
    <row r="6353">
      <c r="A6353" s="1"/>
    </row>
    <row r="6354">
      <c r="A6354" s="1"/>
    </row>
    <row r="6355">
      <c r="A6355" s="1"/>
    </row>
    <row r="6356">
      <c r="A6356" s="1"/>
    </row>
    <row r="6357">
      <c r="A6357" s="1"/>
    </row>
    <row r="6358">
      <c r="A6358" s="1"/>
    </row>
    <row r="6359">
      <c r="A6359" s="1"/>
    </row>
    <row r="6360">
      <c r="A6360" s="1"/>
    </row>
    <row r="6361">
      <c r="A6361" s="1"/>
    </row>
    <row r="6362">
      <c r="A6362" s="1"/>
    </row>
    <row r="6363">
      <c r="A6363" s="1"/>
    </row>
    <row r="6364">
      <c r="A6364" s="1"/>
    </row>
    <row r="6365">
      <c r="A6365" s="1"/>
    </row>
    <row r="6366">
      <c r="A6366" s="1"/>
    </row>
    <row r="6367">
      <c r="A6367" s="1"/>
    </row>
    <row r="6368">
      <c r="A6368" s="1"/>
    </row>
    <row r="6369">
      <c r="A6369" s="1"/>
    </row>
    <row r="6370">
      <c r="A6370" s="1"/>
    </row>
    <row r="6371">
      <c r="A6371" s="1"/>
    </row>
    <row r="6372">
      <c r="A6372" s="1"/>
    </row>
    <row r="6373">
      <c r="A6373" s="1"/>
    </row>
    <row r="6374">
      <c r="A6374" s="1"/>
    </row>
    <row r="6375">
      <c r="A6375" s="1"/>
    </row>
    <row r="6376">
      <c r="A6376" s="1"/>
    </row>
    <row r="6377">
      <c r="A6377" s="1"/>
    </row>
    <row r="6378">
      <c r="A6378" s="1"/>
    </row>
    <row r="6379">
      <c r="A6379" s="1"/>
    </row>
    <row r="6380">
      <c r="A6380" s="1"/>
    </row>
    <row r="6381">
      <c r="A6381" s="1"/>
    </row>
    <row r="6382">
      <c r="A6382" s="1"/>
    </row>
    <row r="6383">
      <c r="A6383" s="1"/>
    </row>
    <row r="6384">
      <c r="A6384" s="1"/>
    </row>
    <row r="6385">
      <c r="A6385" s="1"/>
    </row>
    <row r="6386">
      <c r="A6386" s="1"/>
    </row>
    <row r="6387">
      <c r="A6387" s="1"/>
    </row>
    <row r="6388">
      <c r="A6388" s="1"/>
    </row>
    <row r="6389">
      <c r="A6389" s="1"/>
    </row>
    <row r="6390">
      <c r="A6390" s="1"/>
    </row>
    <row r="6391">
      <c r="A6391" s="1"/>
    </row>
    <row r="6392">
      <c r="A6392" s="1"/>
    </row>
    <row r="6393">
      <c r="A6393" s="1"/>
    </row>
    <row r="6394">
      <c r="A6394" s="1"/>
    </row>
    <row r="6395">
      <c r="A6395" s="1"/>
    </row>
    <row r="6396">
      <c r="A6396" s="1"/>
    </row>
    <row r="6397">
      <c r="A6397" s="1"/>
    </row>
    <row r="6398">
      <c r="A6398" s="1"/>
    </row>
    <row r="6399">
      <c r="A6399" s="1"/>
    </row>
    <row r="6400">
      <c r="A6400" s="1"/>
    </row>
    <row r="6401">
      <c r="A6401" s="1"/>
    </row>
    <row r="6402">
      <c r="A6402" s="1"/>
    </row>
    <row r="6403">
      <c r="A6403" s="1"/>
    </row>
    <row r="6404">
      <c r="A6404" s="1"/>
    </row>
    <row r="6405">
      <c r="A6405" s="1"/>
    </row>
    <row r="6406">
      <c r="A6406" s="1"/>
    </row>
    <row r="6407">
      <c r="A6407" s="1"/>
    </row>
    <row r="6408">
      <c r="A6408" s="1"/>
    </row>
    <row r="6409">
      <c r="A6409" s="1"/>
    </row>
    <row r="6410">
      <c r="A6410" s="1"/>
    </row>
    <row r="6411">
      <c r="A6411" s="1"/>
    </row>
    <row r="6412">
      <c r="A6412" s="1"/>
    </row>
    <row r="6413">
      <c r="A6413" s="1"/>
    </row>
    <row r="6414">
      <c r="A6414" s="1"/>
    </row>
    <row r="6415">
      <c r="A6415" s="1"/>
    </row>
    <row r="6416">
      <c r="A6416" s="1"/>
    </row>
    <row r="6417">
      <c r="A6417" s="1"/>
    </row>
    <row r="6418">
      <c r="A6418" s="1"/>
    </row>
    <row r="6419">
      <c r="A6419" s="1"/>
    </row>
    <row r="6420">
      <c r="A6420" s="1"/>
    </row>
    <row r="6421">
      <c r="A6421" s="1"/>
    </row>
    <row r="6422">
      <c r="A6422" s="1"/>
    </row>
    <row r="6423">
      <c r="A6423" s="1"/>
    </row>
    <row r="6424">
      <c r="A6424" s="1"/>
    </row>
    <row r="6425">
      <c r="A6425" s="1"/>
    </row>
    <row r="6426">
      <c r="A6426" s="1"/>
    </row>
    <row r="6427">
      <c r="A6427" s="1"/>
    </row>
    <row r="6428">
      <c r="A6428" s="1"/>
    </row>
    <row r="6429">
      <c r="A6429" s="1"/>
    </row>
    <row r="6430">
      <c r="A6430" s="1"/>
    </row>
    <row r="6431">
      <c r="A6431" s="1"/>
    </row>
    <row r="6432">
      <c r="A6432" s="1"/>
    </row>
    <row r="6433">
      <c r="A6433" s="1"/>
    </row>
    <row r="6434">
      <c r="A6434" s="1"/>
    </row>
    <row r="6435">
      <c r="A6435" s="1"/>
    </row>
    <row r="6436">
      <c r="A6436" s="1"/>
    </row>
    <row r="6437">
      <c r="A6437" s="1"/>
    </row>
    <row r="6438">
      <c r="A6438" s="1"/>
    </row>
    <row r="6439">
      <c r="A6439" s="1"/>
    </row>
    <row r="6440">
      <c r="A6440" s="1"/>
    </row>
    <row r="6441">
      <c r="A6441" s="1"/>
    </row>
    <row r="6442">
      <c r="A6442" s="1"/>
    </row>
    <row r="6443">
      <c r="A6443" s="1"/>
    </row>
    <row r="6444">
      <c r="A6444" s="1"/>
    </row>
    <row r="6445">
      <c r="A6445" s="1"/>
    </row>
    <row r="6446">
      <c r="A6446" s="1"/>
    </row>
    <row r="6447">
      <c r="A6447" s="1"/>
    </row>
    <row r="6448">
      <c r="A6448" s="1"/>
    </row>
    <row r="6449">
      <c r="A6449" s="1"/>
    </row>
    <row r="6450">
      <c r="A6450" s="1"/>
    </row>
    <row r="6451">
      <c r="A6451" s="1"/>
    </row>
    <row r="6452">
      <c r="A6452" s="1"/>
    </row>
    <row r="6453">
      <c r="A6453" s="1"/>
    </row>
    <row r="6454">
      <c r="A6454" s="1"/>
    </row>
    <row r="6455">
      <c r="A6455" s="1"/>
    </row>
    <row r="6456">
      <c r="A6456" s="1"/>
    </row>
    <row r="6457">
      <c r="A6457" s="1"/>
    </row>
    <row r="6458">
      <c r="A6458" s="1"/>
    </row>
    <row r="6459">
      <c r="A6459" s="1"/>
    </row>
    <row r="6460">
      <c r="A6460" s="1"/>
    </row>
    <row r="6461">
      <c r="A6461" s="1"/>
    </row>
    <row r="6462">
      <c r="A6462" s="1"/>
    </row>
    <row r="6463">
      <c r="A6463" s="1"/>
    </row>
    <row r="6464">
      <c r="A6464" s="1"/>
    </row>
    <row r="6465">
      <c r="A6465" s="1"/>
    </row>
    <row r="6466">
      <c r="A6466" s="1"/>
    </row>
    <row r="6467">
      <c r="A6467" s="1"/>
    </row>
    <row r="6468">
      <c r="A6468" s="1"/>
    </row>
    <row r="6469">
      <c r="A6469" s="1"/>
    </row>
    <row r="6470">
      <c r="A6470" s="1"/>
    </row>
    <row r="6471">
      <c r="A6471" s="1"/>
    </row>
    <row r="6472">
      <c r="A6472" s="1"/>
    </row>
    <row r="6473">
      <c r="A6473" s="1"/>
    </row>
    <row r="6474">
      <c r="A6474" s="1"/>
    </row>
    <row r="6475">
      <c r="A6475" s="1"/>
    </row>
    <row r="6476">
      <c r="A6476" s="1"/>
    </row>
    <row r="6477">
      <c r="A6477" s="1"/>
    </row>
    <row r="6478">
      <c r="A6478" s="1"/>
    </row>
    <row r="6479">
      <c r="A6479" s="1"/>
    </row>
    <row r="6480">
      <c r="A6480" s="1"/>
    </row>
    <row r="6481">
      <c r="A6481" s="1"/>
    </row>
    <row r="6482">
      <c r="A6482" s="1"/>
    </row>
    <row r="6483">
      <c r="A6483" s="1"/>
    </row>
    <row r="6484">
      <c r="A6484" s="1"/>
    </row>
    <row r="6485">
      <c r="A6485" s="1"/>
    </row>
    <row r="6486">
      <c r="A6486" s="1"/>
    </row>
    <row r="6487">
      <c r="A6487" s="1"/>
    </row>
    <row r="6488">
      <c r="A6488" s="1"/>
    </row>
    <row r="6489">
      <c r="A6489" s="1"/>
    </row>
    <row r="6490">
      <c r="A6490" s="1"/>
    </row>
    <row r="6491">
      <c r="A6491" s="1"/>
    </row>
    <row r="6492">
      <c r="A6492" s="1"/>
    </row>
    <row r="6493">
      <c r="A6493" s="1"/>
    </row>
    <row r="6494">
      <c r="A6494" s="1"/>
    </row>
    <row r="6495">
      <c r="A6495" s="1"/>
    </row>
    <row r="6496">
      <c r="A6496" s="1"/>
    </row>
    <row r="6497">
      <c r="A6497" s="1"/>
    </row>
    <row r="6498">
      <c r="A6498" s="1"/>
    </row>
    <row r="6499">
      <c r="A6499" s="1"/>
    </row>
    <row r="6500">
      <c r="A6500" s="1"/>
    </row>
    <row r="6501">
      <c r="A6501" s="1"/>
    </row>
    <row r="6502">
      <c r="A6502" s="1"/>
    </row>
    <row r="6503">
      <c r="A6503" s="1"/>
    </row>
    <row r="6504">
      <c r="A6504" s="1"/>
    </row>
    <row r="6505">
      <c r="A6505" s="1"/>
    </row>
    <row r="6506">
      <c r="A6506" s="1"/>
    </row>
    <row r="6507">
      <c r="A6507" s="1"/>
    </row>
    <row r="6508">
      <c r="A6508" s="1"/>
    </row>
    <row r="6509">
      <c r="A6509" s="1"/>
    </row>
    <row r="6510">
      <c r="A6510" s="1"/>
    </row>
    <row r="6511">
      <c r="A6511" s="1"/>
    </row>
    <row r="6512">
      <c r="A6512" s="1"/>
    </row>
    <row r="6513">
      <c r="A6513" s="1"/>
    </row>
    <row r="6514">
      <c r="A6514" s="1"/>
    </row>
    <row r="6515">
      <c r="A6515" s="1"/>
    </row>
    <row r="6516">
      <c r="A6516" s="1"/>
    </row>
    <row r="6517">
      <c r="A6517" s="1"/>
    </row>
    <row r="6518">
      <c r="A6518" s="1"/>
    </row>
    <row r="6519">
      <c r="A6519" s="1"/>
    </row>
    <row r="6520">
      <c r="A6520" s="1"/>
    </row>
    <row r="6521">
      <c r="A6521" s="1"/>
    </row>
    <row r="6522">
      <c r="A6522" s="1"/>
    </row>
    <row r="6523">
      <c r="A6523" s="1"/>
    </row>
    <row r="6524">
      <c r="A6524" s="1"/>
    </row>
    <row r="6525">
      <c r="A6525" s="1"/>
    </row>
    <row r="6526">
      <c r="A6526" s="1"/>
    </row>
    <row r="6527">
      <c r="A6527" s="1"/>
    </row>
    <row r="6528">
      <c r="A6528" s="1"/>
    </row>
    <row r="6529">
      <c r="A6529" s="1"/>
    </row>
    <row r="6530">
      <c r="A6530" s="1"/>
    </row>
    <row r="6531">
      <c r="A6531" s="1"/>
    </row>
    <row r="6532">
      <c r="A6532" s="1"/>
    </row>
    <row r="6533">
      <c r="A6533" s="1"/>
    </row>
    <row r="6534">
      <c r="A6534" s="1"/>
    </row>
    <row r="6535">
      <c r="A6535" s="1"/>
    </row>
    <row r="6536">
      <c r="A6536" s="1"/>
    </row>
    <row r="6537">
      <c r="A6537" s="1"/>
    </row>
    <row r="6538">
      <c r="A6538" s="1"/>
    </row>
    <row r="6539">
      <c r="A6539" s="1"/>
    </row>
    <row r="6540">
      <c r="A6540" s="1"/>
    </row>
    <row r="6541">
      <c r="A6541" s="1"/>
    </row>
    <row r="6542">
      <c r="A6542" s="1"/>
    </row>
    <row r="6543">
      <c r="A6543" s="1"/>
    </row>
    <row r="6544">
      <c r="A6544" s="1"/>
    </row>
    <row r="6545">
      <c r="A6545" s="1"/>
    </row>
    <row r="6546">
      <c r="A6546" s="1"/>
    </row>
    <row r="6547">
      <c r="A6547" s="1"/>
    </row>
    <row r="6548">
      <c r="A6548" s="1"/>
    </row>
    <row r="6549">
      <c r="A6549" s="1"/>
    </row>
    <row r="6550">
      <c r="A6550" s="1"/>
    </row>
    <row r="6551">
      <c r="A6551" s="1"/>
    </row>
    <row r="6552">
      <c r="A6552" s="1"/>
    </row>
    <row r="6553">
      <c r="A6553" s="1"/>
    </row>
    <row r="6554">
      <c r="A6554" s="1"/>
    </row>
    <row r="6555">
      <c r="A6555" s="1"/>
    </row>
    <row r="6556">
      <c r="A6556" s="1"/>
    </row>
    <row r="6557">
      <c r="A6557" s="1"/>
    </row>
    <row r="6558">
      <c r="A6558" s="1"/>
    </row>
    <row r="6559">
      <c r="A6559" s="1"/>
    </row>
    <row r="6560">
      <c r="A6560" s="1"/>
    </row>
    <row r="6561">
      <c r="A6561" s="1"/>
    </row>
    <row r="6562">
      <c r="A6562" s="1"/>
    </row>
    <row r="6563">
      <c r="A6563" s="1"/>
    </row>
    <row r="6564">
      <c r="A6564" s="1"/>
    </row>
    <row r="6565">
      <c r="A6565" s="1"/>
    </row>
    <row r="6566">
      <c r="A6566" s="1"/>
    </row>
    <row r="6567">
      <c r="A6567" s="1"/>
    </row>
    <row r="6568">
      <c r="A6568" s="1"/>
    </row>
    <row r="6569">
      <c r="A6569" s="1"/>
    </row>
    <row r="6570">
      <c r="A6570" s="1"/>
    </row>
    <row r="6571">
      <c r="A6571" s="1"/>
    </row>
    <row r="6572">
      <c r="A6572" s="1"/>
    </row>
    <row r="6573">
      <c r="A6573" s="1"/>
    </row>
    <row r="6574">
      <c r="A6574" s="1"/>
    </row>
    <row r="6575">
      <c r="A6575" s="1"/>
    </row>
    <row r="6576">
      <c r="A6576" s="1"/>
    </row>
    <row r="6577">
      <c r="A6577" s="1"/>
    </row>
    <row r="6578">
      <c r="A6578" s="1"/>
    </row>
    <row r="6579">
      <c r="A6579" s="1"/>
    </row>
    <row r="6580">
      <c r="A6580" s="1"/>
    </row>
    <row r="6581">
      <c r="A6581" s="1"/>
    </row>
    <row r="6582">
      <c r="A6582" s="1"/>
    </row>
    <row r="6583">
      <c r="A6583" s="1"/>
    </row>
    <row r="6584">
      <c r="A6584" s="1"/>
    </row>
    <row r="6585">
      <c r="A6585" s="1"/>
    </row>
    <row r="6586">
      <c r="A6586" s="1"/>
    </row>
    <row r="6587">
      <c r="A6587" s="1"/>
    </row>
    <row r="6588">
      <c r="A6588" s="1"/>
    </row>
    <row r="6589">
      <c r="A6589" s="1"/>
    </row>
    <row r="6590">
      <c r="A6590" s="1"/>
    </row>
    <row r="6591">
      <c r="A6591" s="1"/>
    </row>
    <row r="6592">
      <c r="A6592" s="1"/>
    </row>
    <row r="6593">
      <c r="A6593" s="1"/>
    </row>
    <row r="6594">
      <c r="A6594" s="1"/>
    </row>
    <row r="6595">
      <c r="A6595" s="1"/>
    </row>
    <row r="6596">
      <c r="A6596" s="1"/>
    </row>
    <row r="6597">
      <c r="A6597" s="1"/>
    </row>
    <row r="6598">
      <c r="A6598" s="1"/>
    </row>
    <row r="6599">
      <c r="A6599" s="1"/>
    </row>
    <row r="6600">
      <c r="A6600" s="1"/>
    </row>
    <row r="6601">
      <c r="A6601" s="1"/>
    </row>
    <row r="6602">
      <c r="A6602" s="1"/>
    </row>
    <row r="6603">
      <c r="A6603" s="1"/>
    </row>
    <row r="6604">
      <c r="A6604" s="1"/>
    </row>
    <row r="6605">
      <c r="A6605" s="1"/>
    </row>
    <row r="6606">
      <c r="A6606" s="1"/>
    </row>
    <row r="6607">
      <c r="A6607" s="1"/>
    </row>
    <row r="6608">
      <c r="A6608" s="1"/>
    </row>
    <row r="6609">
      <c r="A6609" s="1"/>
    </row>
    <row r="6610">
      <c r="A6610" s="1"/>
    </row>
    <row r="6611">
      <c r="A6611" s="1"/>
    </row>
    <row r="6612">
      <c r="A6612" s="1"/>
    </row>
    <row r="6613">
      <c r="A6613" s="1"/>
    </row>
    <row r="6614">
      <c r="A6614" s="1"/>
    </row>
    <row r="6615">
      <c r="A6615" s="1"/>
    </row>
    <row r="6616">
      <c r="A6616" s="1"/>
    </row>
    <row r="6617">
      <c r="A6617" s="1"/>
    </row>
    <row r="6618">
      <c r="A6618" s="1"/>
    </row>
    <row r="6619">
      <c r="A6619" s="1"/>
    </row>
    <row r="6620">
      <c r="A6620" s="1"/>
    </row>
    <row r="6621">
      <c r="A6621" s="1"/>
    </row>
    <row r="6622">
      <c r="A6622" s="1"/>
    </row>
    <row r="6623">
      <c r="A6623" s="1"/>
    </row>
    <row r="6624">
      <c r="A6624" s="1"/>
    </row>
    <row r="6625">
      <c r="A6625" s="1"/>
    </row>
    <row r="6626">
      <c r="A6626" s="1"/>
    </row>
    <row r="6627">
      <c r="A6627" s="1"/>
    </row>
    <row r="6628">
      <c r="A6628" s="1"/>
    </row>
    <row r="6629">
      <c r="A6629" s="1"/>
    </row>
    <row r="6630">
      <c r="A6630" s="1"/>
    </row>
    <row r="6631">
      <c r="A6631" s="1"/>
    </row>
    <row r="6632">
      <c r="A6632" s="1"/>
    </row>
    <row r="6633">
      <c r="A6633" s="1"/>
    </row>
    <row r="6634">
      <c r="A6634" s="1"/>
    </row>
    <row r="6635">
      <c r="A6635" s="1"/>
    </row>
    <row r="6636">
      <c r="A6636" s="1"/>
    </row>
    <row r="6637">
      <c r="A6637" s="1"/>
    </row>
    <row r="6638">
      <c r="A6638" s="1"/>
    </row>
    <row r="6639">
      <c r="A6639" s="1"/>
    </row>
    <row r="6640">
      <c r="A6640" s="1"/>
    </row>
    <row r="6641">
      <c r="A6641" s="1"/>
    </row>
    <row r="6642">
      <c r="A6642" s="1"/>
    </row>
    <row r="6643">
      <c r="A6643" s="1"/>
    </row>
    <row r="6644">
      <c r="A6644" s="1"/>
    </row>
    <row r="6645">
      <c r="A6645" s="1"/>
    </row>
    <row r="6646">
      <c r="A6646" s="1"/>
    </row>
    <row r="6647">
      <c r="A6647" s="1"/>
    </row>
    <row r="6648">
      <c r="A6648" s="1"/>
    </row>
    <row r="6649">
      <c r="A6649" s="1"/>
    </row>
    <row r="6650">
      <c r="A6650" s="1"/>
    </row>
    <row r="6651">
      <c r="A6651" s="1"/>
    </row>
    <row r="6652">
      <c r="A6652" s="1"/>
    </row>
    <row r="6653">
      <c r="A6653" s="1"/>
    </row>
    <row r="6654">
      <c r="A6654" s="1"/>
    </row>
    <row r="6655">
      <c r="A6655" s="1"/>
    </row>
    <row r="6656">
      <c r="A6656" s="1"/>
    </row>
    <row r="6657">
      <c r="A6657" s="1"/>
    </row>
    <row r="6658">
      <c r="A6658" s="1"/>
    </row>
    <row r="6659">
      <c r="A6659" s="1"/>
    </row>
    <row r="6660">
      <c r="A6660" s="1"/>
    </row>
    <row r="6661">
      <c r="A6661" s="1"/>
    </row>
    <row r="6662">
      <c r="A6662" s="1"/>
    </row>
    <row r="6663">
      <c r="A6663" s="1"/>
    </row>
    <row r="6664">
      <c r="A6664" s="1"/>
    </row>
    <row r="6665">
      <c r="A6665" s="1"/>
    </row>
    <row r="6666">
      <c r="A6666" s="1"/>
    </row>
    <row r="6667">
      <c r="A6667" s="1"/>
    </row>
    <row r="6668">
      <c r="A6668" s="1"/>
    </row>
    <row r="6669">
      <c r="A6669" s="1"/>
    </row>
    <row r="6670">
      <c r="A6670" s="1"/>
    </row>
    <row r="6671">
      <c r="A6671" s="1"/>
    </row>
    <row r="6672">
      <c r="A6672" s="1"/>
    </row>
    <row r="6673">
      <c r="A6673" s="1"/>
    </row>
    <row r="6674">
      <c r="A6674" s="1"/>
    </row>
    <row r="6675">
      <c r="A6675" s="1"/>
    </row>
    <row r="6676">
      <c r="A6676" s="1"/>
    </row>
    <row r="6677">
      <c r="A6677" s="1"/>
    </row>
    <row r="6678">
      <c r="A6678" s="1"/>
    </row>
    <row r="6679">
      <c r="A6679" s="1"/>
    </row>
    <row r="6680">
      <c r="A6680" s="1"/>
    </row>
    <row r="6681">
      <c r="A6681" s="1"/>
    </row>
    <row r="6682">
      <c r="A6682" s="1"/>
    </row>
    <row r="6683">
      <c r="A6683" s="1"/>
    </row>
    <row r="6684">
      <c r="A6684" s="1"/>
    </row>
    <row r="6685">
      <c r="A6685" s="1"/>
    </row>
    <row r="6686">
      <c r="A6686" s="1"/>
    </row>
    <row r="6687">
      <c r="A6687" s="1"/>
    </row>
    <row r="6688">
      <c r="A6688" s="1"/>
    </row>
    <row r="6689">
      <c r="A6689" s="1"/>
    </row>
    <row r="6690">
      <c r="A6690" s="1"/>
    </row>
    <row r="6691">
      <c r="A6691" s="1"/>
    </row>
    <row r="6692">
      <c r="A6692" s="1"/>
    </row>
    <row r="6693">
      <c r="A6693" s="1"/>
    </row>
    <row r="6694">
      <c r="A6694" s="1"/>
    </row>
    <row r="6695">
      <c r="A6695" s="1"/>
    </row>
    <row r="6696">
      <c r="A6696" s="1"/>
    </row>
    <row r="6697">
      <c r="A6697" s="1"/>
    </row>
    <row r="6698">
      <c r="A6698" s="1"/>
    </row>
    <row r="6699">
      <c r="A6699" s="1"/>
    </row>
    <row r="6700">
      <c r="A6700" s="1"/>
    </row>
    <row r="6701">
      <c r="A6701" s="1"/>
    </row>
    <row r="6702">
      <c r="A6702" s="1"/>
    </row>
    <row r="6703">
      <c r="A6703" s="1"/>
    </row>
    <row r="6704">
      <c r="A6704" s="1"/>
    </row>
    <row r="6705">
      <c r="A6705" s="1"/>
    </row>
    <row r="6706">
      <c r="A6706" s="1"/>
    </row>
    <row r="6707">
      <c r="A6707" s="1"/>
    </row>
    <row r="6708">
      <c r="A6708" s="1"/>
    </row>
    <row r="6709">
      <c r="A6709" s="1"/>
    </row>
    <row r="6710">
      <c r="A6710" s="1"/>
    </row>
    <row r="6711">
      <c r="A6711" s="1"/>
    </row>
    <row r="6712">
      <c r="A6712" s="1"/>
    </row>
    <row r="6713">
      <c r="A6713" s="1"/>
    </row>
    <row r="6714">
      <c r="A6714" s="1"/>
    </row>
    <row r="6715">
      <c r="A6715" s="1"/>
    </row>
    <row r="6716">
      <c r="A6716" s="1"/>
    </row>
    <row r="6717">
      <c r="A6717" s="1"/>
    </row>
    <row r="6718">
      <c r="A6718" s="1"/>
    </row>
    <row r="6719">
      <c r="A6719" s="1"/>
    </row>
    <row r="6720">
      <c r="A6720" s="1"/>
    </row>
    <row r="6721">
      <c r="A6721" s="1"/>
    </row>
    <row r="6722">
      <c r="A6722" s="1"/>
    </row>
    <row r="6723">
      <c r="A6723" s="1"/>
    </row>
    <row r="6724">
      <c r="A6724" s="1"/>
    </row>
    <row r="6725">
      <c r="A6725" s="1"/>
    </row>
    <row r="6726">
      <c r="A6726" s="1"/>
    </row>
    <row r="6727">
      <c r="A6727" s="1"/>
    </row>
    <row r="6728">
      <c r="A6728" s="1"/>
    </row>
    <row r="6729">
      <c r="A6729" s="1"/>
    </row>
    <row r="6730">
      <c r="A6730" s="1"/>
    </row>
    <row r="6731">
      <c r="A6731" s="1"/>
    </row>
    <row r="6732">
      <c r="A6732" s="1"/>
    </row>
    <row r="6733">
      <c r="A6733" s="1"/>
    </row>
    <row r="6734">
      <c r="A6734" s="1"/>
    </row>
    <row r="6735">
      <c r="A6735" s="1"/>
    </row>
    <row r="6736">
      <c r="A6736" s="1"/>
    </row>
    <row r="6737">
      <c r="A6737" s="1"/>
    </row>
    <row r="6738">
      <c r="A6738" s="1"/>
    </row>
    <row r="6739">
      <c r="A6739" s="1"/>
    </row>
    <row r="6740">
      <c r="A6740" s="1"/>
    </row>
    <row r="6741">
      <c r="A6741" s="1"/>
    </row>
    <row r="6742">
      <c r="A6742" s="1"/>
    </row>
    <row r="6743">
      <c r="A6743" s="1"/>
    </row>
    <row r="6744">
      <c r="A6744" s="1"/>
    </row>
    <row r="6745">
      <c r="A6745" s="1"/>
    </row>
    <row r="6746">
      <c r="A6746" s="1"/>
    </row>
    <row r="6747">
      <c r="A6747" s="1"/>
    </row>
    <row r="6748">
      <c r="A6748" s="1"/>
    </row>
    <row r="6749">
      <c r="A6749" s="1"/>
    </row>
    <row r="6750">
      <c r="A6750" s="1"/>
    </row>
    <row r="6751">
      <c r="A6751" s="1"/>
    </row>
    <row r="6752">
      <c r="A6752" s="1"/>
    </row>
    <row r="6753">
      <c r="A6753" s="1"/>
    </row>
    <row r="6754">
      <c r="A6754" s="1"/>
    </row>
    <row r="6755">
      <c r="A6755" s="1"/>
    </row>
    <row r="6756">
      <c r="A6756" s="1"/>
    </row>
    <row r="6757">
      <c r="A6757" s="1"/>
    </row>
    <row r="6758">
      <c r="A6758" s="1"/>
    </row>
    <row r="6759">
      <c r="A6759" s="1"/>
    </row>
    <row r="6760">
      <c r="A6760" s="1"/>
    </row>
    <row r="6761">
      <c r="A6761" s="1"/>
    </row>
    <row r="6762">
      <c r="A6762" s="1"/>
    </row>
    <row r="6763">
      <c r="A6763" s="1"/>
    </row>
    <row r="6764">
      <c r="A6764" s="1"/>
    </row>
    <row r="6765">
      <c r="A6765" s="1"/>
    </row>
    <row r="6766">
      <c r="A6766" s="1"/>
    </row>
    <row r="6767">
      <c r="A6767" s="1"/>
    </row>
    <row r="6768">
      <c r="A6768" s="1"/>
    </row>
    <row r="6769">
      <c r="A6769" s="1"/>
    </row>
    <row r="6770">
      <c r="A6770" s="1"/>
    </row>
    <row r="6771">
      <c r="A6771" s="1"/>
    </row>
    <row r="6772">
      <c r="A6772" s="1"/>
    </row>
    <row r="6773">
      <c r="A6773" s="1"/>
    </row>
    <row r="6774">
      <c r="A6774" s="1"/>
    </row>
    <row r="6775">
      <c r="A6775" s="1"/>
    </row>
    <row r="6776">
      <c r="A6776" s="1"/>
    </row>
    <row r="6777">
      <c r="A6777" s="1"/>
    </row>
    <row r="6778">
      <c r="A6778" s="1"/>
    </row>
    <row r="6779">
      <c r="A6779" s="1"/>
    </row>
    <row r="6780">
      <c r="A6780" s="1"/>
    </row>
    <row r="6781">
      <c r="A6781" s="1"/>
    </row>
    <row r="6782">
      <c r="A6782" s="1"/>
    </row>
    <row r="6783">
      <c r="A6783" s="1"/>
    </row>
    <row r="6784">
      <c r="A6784" s="1"/>
    </row>
    <row r="6785">
      <c r="A6785" s="1"/>
    </row>
    <row r="6786">
      <c r="A6786" s="1"/>
    </row>
    <row r="6787">
      <c r="A6787" s="1"/>
    </row>
    <row r="6788">
      <c r="A6788" s="1"/>
    </row>
    <row r="6789">
      <c r="A6789" s="1"/>
    </row>
    <row r="6790">
      <c r="A6790" s="1"/>
    </row>
    <row r="6791">
      <c r="A6791" s="1"/>
    </row>
    <row r="6792">
      <c r="A6792" s="1"/>
    </row>
    <row r="6793">
      <c r="A6793" s="1"/>
    </row>
    <row r="6794">
      <c r="A6794" s="1"/>
    </row>
    <row r="6795">
      <c r="A6795" s="1"/>
    </row>
    <row r="6796">
      <c r="A6796" s="1"/>
    </row>
    <row r="6797">
      <c r="A6797" s="1"/>
    </row>
    <row r="6798">
      <c r="A6798" s="1"/>
    </row>
    <row r="6799">
      <c r="A6799" s="1"/>
    </row>
    <row r="6800">
      <c r="A6800" s="1"/>
    </row>
    <row r="6801">
      <c r="A6801" s="1"/>
    </row>
    <row r="6802">
      <c r="A6802" s="1"/>
    </row>
    <row r="6803">
      <c r="A6803" s="1"/>
    </row>
    <row r="6804">
      <c r="A6804" s="1"/>
    </row>
    <row r="6805">
      <c r="A6805" s="1"/>
    </row>
    <row r="6806">
      <c r="A6806" s="1"/>
    </row>
    <row r="6807">
      <c r="A6807" s="1"/>
    </row>
    <row r="6808">
      <c r="A6808" s="1"/>
    </row>
    <row r="6809">
      <c r="A6809" s="1"/>
    </row>
    <row r="6810">
      <c r="A6810" s="1"/>
    </row>
    <row r="6811">
      <c r="A6811" s="1"/>
    </row>
    <row r="6812">
      <c r="A6812" s="1"/>
    </row>
    <row r="6813">
      <c r="A6813" s="1"/>
    </row>
    <row r="6814">
      <c r="A6814" s="1"/>
    </row>
    <row r="6815">
      <c r="A6815" s="1"/>
    </row>
    <row r="6816">
      <c r="A6816" s="1"/>
    </row>
    <row r="6817">
      <c r="A6817" s="1"/>
    </row>
    <row r="6818">
      <c r="A6818" s="1"/>
    </row>
    <row r="6819">
      <c r="A6819" s="1"/>
    </row>
    <row r="6820">
      <c r="A6820" s="1"/>
    </row>
    <row r="6821">
      <c r="A6821" s="1"/>
    </row>
    <row r="6822">
      <c r="A6822" s="1"/>
    </row>
    <row r="6823">
      <c r="A6823" s="1"/>
    </row>
    <row r="6824">
      <c r="A6824" s="1"/>
    </row>
    <row r="6825">
      <c r="A6825" s="1"/>
    </row>
    <row r="6826">
      <c r="A6826" s="1"/>
    </row>
    <row r="6827">
      <c r="A6827" s="1"/>
    </row>
    <row r="6828">
      <c r="A6828" s="1"/>
    </row>
    <row r="6829">
      <c r="A6829" s="1"/>
    </row>
    <row r="6830">
      <c r="A6830" s="1"/>
    </row>
    <row r="6831">
      <c r="A6831" s="1"/>
    </row>
    <row r="6832">
      <c r="A6832" s="1"/>
    </row>
    <row r="6833">
      <c r="A6833" s="1"/>
    </row>
    <row r="6834">
      <c r="A6834" s="1"/>
    </row>
    <row r="6835">
      <c r="A6835" s="1"/>
    </row>
    <row r="6836">
      <c r="A6836" s="1"/>
    </row>
    <row r="6837">
      <c r="A6837" s="1"/>
    </row>
    <row r="6838">
      <c r="A6838" s="1"/>
    </row>
    <row r="6839">
      <c r="A6839" s="1"/>
    </row>
    <row r="6840">
      <c r="A6840" s="1"/>
    </row>
    <row r="6841">
      <c r="A6841" s="1"/>
    </row>
    <row r="6842">
      <c r="A6842" s="1"/>
    </row>
    <row r="6843">
      <c r="A6843" s="1"/>
    </row>
    <row r="6844">
      <c r="A6844" s="1"/>
    </row>
    <row r="6845">
      <c r="A6845" s="1"/>
    </row>
    <row r="6846">
      <c r="A6846" s="1"/>
    </row>
    <row r="6847">
      <c r="A6847" s="1"/>
    </row>
    <row r="6848">
      <c r="A6848" s="1"/>
    </row>
    <row r="6849">
      <c r="A6849" s="1"/>
    </row>
    <row r="6850">
      <c r="A6850" s="1"/>
    </row>
    <row r="6851">
      <c r="A6851" s="1"/>
    </row>
    <row r="6852">
      <c r="A6852" s="1"/>
    </row>
    <row r="6853">
      <c r="A6853" s="1"/>
    </row>
    <row r="6854">
      <c r="A6854" s="1"/>
    </row>
    <row r="6855">
      <c r="A6855" s="1"/>
    </row>
    <row r="6856">
      <c r="A6856" s="1"/>
    </row>
    <row r="6857">
      <c r="A6857" s="1"/>
    </row>
    <row r="6858">
      <c r="A6858" s="1"/>
    </row>
    <row r="6859">
      <c r="A6859" s="1"/>
    </row>
    <row r="6860">
      <c r="A6860" s="1"/>
    </row>
    <row r="6861">
      <c r="A6861" s="1"/>
    </row>
    <row r="6862">
      <c r="A6862" s="1"/>
    </row>
    <row r="6863">
      <c r="A6863" s="1"/>
    </row>
    <row r="6864">
      <c r="A6864" s="1"/>
    </row>
    <row r="6865">
      <c r="A6865" s="1"/>
    </row>
    <row r="6866">
      <c r="A6866" s="1"/>
    </row>
    <row r="6867">
      <c r="A6867" s="1"/>
    </row>
    <row r="6868">
      <c r="A6868" s="1"/>
    </row>
    <row r="6869">
      <c r="A6869" s="1"/>
    </row>
    <row r="6870">
      <c r="A6870" s="1"/>
    </row>
    <row r="6871">
      <c r="A6871" s="1"/>
    </row>
    <row r="6872">
      <c r="A6872" s="1"/>
    </row>
    <row r="6873">
      <c r="A6873" s="1"/>
    </row>
    <row r="6874">
      <c r="A6874" s="1"/>
    </row>
    <row r="6875">
      <c r="A6875" s="1"/>
    </row>
    <row r="6876">
      <c r="A6876" s="1"/>
    </row>
    <row r="6877">
      <c r="A6877" s="1"/>
    </row>
    <row r="6878">
      <c r="A6878" s="1"/>
    </row>
    <row r="6879">
      <c r="A6879" s="1"/>
    </row>
    <row r="6880">
      <c r="A6880" s="1"/>
    </row>
    <row r="6881">
      <c r="A6881" s="1"/>
    </row>
    <row r="6882">
      <c r="A6882" s="1"/>
    </row>
    <row r="6883">
      <c r="A6883" s="1"/>
    </row>
    <row r="6884">
      <c r="A6884" s="1"/>
    </row>
    <row r="6885">
      <c r="A6885" s="1"/>
    </row>
    <row r="6886">
      <c r="A6886" s="1"/>
    </row>
    <row r="6887">
      <c r="A6887" s="1"/>
    </row>
    <row r="6888">
      <c r="A6888" s="1"/>
    </row>
    <row r="6889">
      <c r="A6889" s="1"/>
    </row>
    <row r="6890">
      <c r="A6890" s="1"/>
    </row>
    <row r="6891">
      <c r="A6891" s="1"/>
    </row>
    <row r="6892">
      <c r="A6892" s="1"/>
    </row>
    <row r="6893">
      <c r="A6893" s="1"/>
    </row>
    <row r="6894">
      <c r="A6894" s="1"/>
    </row>
    <row r="6895">
      <c r="A6895" s="1"/>
    </row>
    <row r="6896">
      <c r="A6896" s="1"/>
    </row>
    <row r="6897">
      <c r="A6897" s="1"/>
    </row>
    <row r="6898">
      <c r="A6898" s="1"/>
    </row>
    <row r="6899">
      <c r="A6899" s="1"/>
    </row>
    <row r="6900">
      <c r="A6900" s="1"/>
    </row>
    <row r="6901">
      <c r="A6901" s="1"/>
    </row>
    <row r="6902">
      <c r="A6902" s="1"/>
    </row>
    <row r="6903">
      <c r="A6903" s="1"/>
    </row>
    <row r="6904">
      <c r="A6904" s="1"/>
    </row>
    <row r="6905">
      <c r="A6905" s="1"/>
    </row>
    <row r="6906">
      <c r="A6906" s="1"/>
    </row>
    <row r="6907">
      <c r="A6907" s="1"/>
    </row>
    <row r="6908">
      <c r="A6908" s="1"/>
    </row>
    <row r="6909">
      <c r="A6909" s="1"/>
    </row>
    <row r="6910">
      <c r="A6910" s="1"/>
    </row>
    <row r="6911">
      <c r="A6911" s="1"/>
    </row>
    <row r="6912">
      <c r="A6912" s="1"/>
    </row>
    <row r="6913">
      <c r="A6913" s="1"/>
    </row>
    <row r="6914">
      <c r="A6914" s="1"/>
    </row>
    <row r="6915">
      <c r="A6915" s="1"/>
    </row>
    <row r="6916">
      <c r="A6916" s="1"/>
    </row>
    <row r="6917">
      <c r="A6917" s="1"/>
    </row>
    <row r="6918">
      <c r="A6918" s="1"/>
    </row>
    <row r="6919">
      <c r="A6919" s="1"/>
    </row>
    <row r="6920">
      <c r="A6920" s="1"/>
    </row>
    <row r="6921">
      <c r="A6921" s="1"/>
    </row>
    <row r="6922">
      <c r="A6922" s="1"/>
    </row>
    <row r="6923">
      <c r="A6923" s="1"/>
    </row>
    <row r="6924">
      <c r="A6924" s="1"/>
    </row>
    <row r="6925">
      <c r="A6925" s="1"/>
    </row>
    <row r="6926">
      <c r="A6926" s="1"/>
    </row>
    <row r="6927">
      <c r="A6927" s="1"/>
    </row>
    <row r="6928">
      <c r="A6928" s="1"/>
    </row>
    <row r="6929">
      <c r="A6929" s="1"/>
    </row>
    <row r="6930">
      <c r="A6930" s="1"/>
    </row>
    <row r="6931">
      <c r="A6931" s="1"/>
    </row>
    <row r="6932">
      <c r="A6932" s="1"/>
    </row>
    <row r="6933">
      <c r="A6933" s="1"/>
    </row>
    <row r="6934">
      <c r="A6934" s="1"/>
    </row>
    <row r="6935">
      <c r="A6935" s="1"/>
    </row>
    <row r="6936">
      <c r="A6936" s="1"/>
    </row>
    <row r="6937">
      <c r="A6937" s="1"/>
    </row>
    <row r="6938">
      <c r="A6938" s="1"/>
    </row>
    <row r="6939">
      <c r="A6939" s="1"/>
    </row>
    <row r="6940">
      <c r="A6940" s="1"/>
    </row>
    <row r="6941">
      <c r="A6941" s="1"/>
    </row>
    <row r="6942">
      <c r="A6942" s="1"/>
    </row>
    <row r="6943">
      <c r="A6943" s="1"/>
    </row>
    <row r="6944">
      <c r="A6944" s="1"/>
    </row>
    <row r="6945">
      <c r="A6945" s="1"/>
    </row>
    <row r="6946">
      <c r="A6946" s="1"/>
    </row>
    <row r="6947">
      <c r="A6947" s="1"/>
    </row>
    <row r="6948">
      <c r="A6948" s="1"/>
    </row>
    <row r="6949">
      <c r="A6949" s="1"/>
    </row>
    <row r="6950">
      <c r="A6950" s="1"/>
    </row>
    <row r="6951">
      <c r="A6951" s="1"/>
    </row>
    <row r="6952">
      <c r="A6952" s="1"/>
    </row>
    <row r="6953">
      <c r="A6953" s="1"/>
    </row>
    <row r="6954">
      <c r="A6954" s="1"/>
    </row>
    <row r="6955">
      <c r="A6955" s="1"/>
    </row>
    <row r="6956">
      <c r="A6956" s="1"/>
    </row>
    <row r="6957">
      <c r="A6957" s="1"/>
    </row>
    <row r="6958">
      <c r="A6958" s="1"/>
    </row>
    <row r="6959">
      <c r="A6959" s="1"/>
    </row>
    <row r="6960">
      <c r="A6960" s="1"/>
    </row>
    <row r="6961">
      <c r="A6961" s="1"/>
    </row>
    <row r="6962">
      <c r="A6962" s="1"/>
    </row>
    <row r="6963">
      <c r="A6963" s="1"/>
    </row>
    <row r="6964">
      <c r="A6964" s="1"/>
    </row>
    <row r="6965">
      <c r="A6965" s="1"/>
    </row>
    <row r="6966">
      <c r="A6966" s="1"/>
    </row>
    <row r="6967">
      <c r="A6967" s="1"/>
    </row>
    <row r="6968">
      <c r="A6968" s="1"/>
    </row>
    <row r="6969">
      <c r="A6969" s="1"/>
    </row>
    <row r="6970">
      <c r="A6970" s="1"/>
    </row>
    <row r="6971">
      <c r="A6971" s="1"/>
    </row>
    <row r="6972">
      <c r="A6972" s="1"/>
    </row>
    <row r="6973">
      <c r="A6973" s="1"/>
    </row>
    <row r="6974">
      <c r="A6974" s="1"/>
    </row>
    <row r="6975">
      <c r="A6975" s="1"/>
    </row>
    <row r="6976">
      <c r="A6976" s="1"/>
    </row>
    <row r="6977">
      <c r="A6977" s="1"/>
    </row>
    <row r="6978">
      <c r="A6978" s="1"/>
    </row>
    <row r="6979">
      <c r="A6979" s="1"/>
    </row>
    <row r="6980">
      <c r="A6980" s="1"/>
    </row>
    <row r="6981">
      <c r="A6981" s="1"/>
    </row>
    <row r="6982">
      <c r="A6982" s="1"/>
    </row>
    <row r="6983">
      <c r="A6983" s="1"/>
    </row>
    <row r="6984">
      <c r="A6984" s="1"/>
    </row>
    <row r="6985">
      <c r="A6985" s="1"/>
    </row>
    <row r="6986">
      <c r="A6986" s="1"/>
    </row>
    <row r="6987">
      <c r="A6987" s="1"/>
    </row>
    <row r="6988">
      <c r="A6988" s="1"/>
    </row>
    <row r="6989">
      <c r="A6989" s="1"/>
    </row>
    <row r="6990">
      <c r="A6990" s="1"/>
    </row>
    <row r="6991">
      <c r="A6991" s="1"/>
    </row>
    <row r="6992">
      <c r="A6992" s="1"/>
    </row>
    <row r="6993">
      <c r="A6993" s="1"/>
    </row>
    <row r="6994">
      <c r="A6994" s="1"/>
    </row>
    <row r="6995">
      <c r="A6995" s="1"/>
    </row>
    <row r="6996">
      <c r="A6996" s="1"/>
    </row>
    <row r="6997">
      <c r="A6997" s="1"/>
    </row>
    <row r="6998">
      <c r="A6998" s="1"/>
    </row>
    <row r="6999">
      <c r="A6999" s="1"/>
    </row>
    <row r="7000">
      <c r="A7000" s="1"/>
    </row>
    <row r="7001">
      <c r="A7001" s="1"/>
    </row>
    <row r="7002">
      <c r="A7002" s="1"/>
    </row>
    <row r="7003">
      <c r="A7003" s="1"/>
    </row>
    <row r="7004">
      <c r="A7004" s="1"/>
    </row>
    <row r="7005">
      <c r="A7005" s="1"/>
    </row>
    <row r="7006">
      <c r="A7006" s="1"/>
    </row>
    <row r="7007">
      <c r="A7007" s="1"/>
    </row>
    <row r="7008">
      <c r="A7008" s="1"/>
    </row>
    <row r="7009">
      <c r="A7009" s="1"/>
    </row>
    <row r="7010">
      <c r="A7010" s="1"/>
    </row>
    <row r="7011">
      <c r="A7011" s="1"/>
    </row>
    <row r="7012">
      <c r="A7012" s="1"/>
    </row>
    <row r="7013">
      <c r="A7013" s="1"/>
    </row>
    <row r="7014">
      <c r="A7014" s="1"/>
    </row>
    <row r="7015">
      <c r="A7015" s="1"/>
    </row>
    <row r="7016">
      <c r="A7016" s="1"/>
    </row>
    <row r="7017">
      <c r="A7017" s="1"/>
    </row>
    <row r="7018">
      <c r="A7018" s="1"/>
    </row>
    <row r="7019">
      <c r="A7019" s="1"/>
    </row>
    <row r="7020">
      <c r="A7020" s="1"/>
    </row>
    <row r="7021">
      <c r="A7021" s="1"/>
    </row>
    <row r="7022">
      <c r="A7022" s="1"/>
    </row>
    <row r="7023">
      <c r="A7023" s="1"/>
    </row>
    <row r="7024">
      <c r="A7024" s="1"/>
    </row>
    <row r="7025">
      <c r="A7025" s="1"/>
    </row>
    <row r="7026">
      <c r="A7026" s="1"/>
    </row>
    <row r="7027">
      <c r="A7027" s="1"/>
    </row>
    <row r="7028">
      <c r="A7028" s="1"/>
    </row>
    <row r="7029">
      <c r="A7029" s="1"/>
    </row>
    <row r="7030">
      <c r="A7030" s="1"/>
    </row>
    <row r="7031">
      <c r="A7031" s="1"/>
    </row>
    <row r="7032">
      <c r="A7032" s="1"/>
    </row>
    <row r="7033">
      <c r="A7033" s="1"/>
    </row>
    <row r="7034">
      <c r="A7034" s="1"/>
    </row>
    <row r="7035">
      <c r="A7035" s="1"/>
    </row>
    <row r="7036">
      <c r="A7036" s="1"/>
    </row>
    <row r="7037">
      <c r="A7037" s="1"/>
    </row>
    <row r="7038">
      <c r="A7038" s="1"/>
    </row>
    <row r="7039">
      <c r="A7039" s="1"/>
    </row>
    <row r="7040">
      <c r="A7040" s="1"/>
    </row>
    <row r="7041">
      <c r="A7041" s="1"/>
    </row>
    <row r="7042">
      <c r="A7042" s="1"/>
    </row>
    <row r="7043">
      <c r="A7043" s="1"/>
    </row>
    <row r="7044">
      <c r="A7044" s="1"/>
    </row>
    <row r="7045">
      <c r="A7045" s="1"/>
    </row>
    <row r="7046">
      <c r="A7046" s="1"/>
    </row>
    <row r="7047">
      <c r="A7047" s="1"/>
    </row>
    <row r="7048">
      <c r="A7048" s="1"/>
    </row>
    <row r="7049">
      <c r="A7049" s="1"/>
    </row>
    <row r="7050">
      <c r="A7050" s="1"/>
    </row>
    <row r="7051">
      <c r="A7051" s="1"/>
    </row>
    <row r="7052">
      <c r="A7052" s="1"/>
    </row>
    <row r="7053">
      <c r="A7053" s="1"/>
    </row>
    <row r="7054">
      <c r="A7054" s="1"/>
    </row>
    <row r="7055">
      <c r="A7055" s="1"/>
    </row>
    <row r="7056">
      <c r="A7056" s="1"/>
    </row>
    <row r="7057">
      <c r="A7057" s="1"/>
    </row>
    <row r="7058">
      <c r="A7058" s="1"/>
    </row>
    <row r="7059">
      <c r="A7059" s="1"/>
    </row>
    <row r="7060">
      <c r="A7060" s="1"/>
    </row>
    <row r="7061">
      <c r="A7061" s="1"/>
    </row>
    <row r="7062">
      <c r="A7062" s="1"/>
    </row>
    <row r="7063">
      <c r="A7063" s="1"/>
    </row>
    <row r="7064">
      <c r="A7064" s="1"/>
    </row>
    <row r="7065">
      <c r="A7065" s="1"/>
    </row>
    <row r="7066">
      <c r="A7066" s="1"/>
    </row>
    <row r="7067">
      <c r="A7067" s="1"/>
    </row>
    <row r="7068">
      <c r="A7068" s="1"/>
    </row>
    <row r="7069">
      <c r="A7069" s="1"/>
    </row>
    <row r="7070">
      <c r="A7070" s="1"/>
    </row>
    <row r="7071">
      <c r="A7071" s="1"/>
    </row>
    <row r="7072">
      <c r="A7072" s="1"/>
    </row>
    <row r="7073">
      <c r="A7073" s="1"/>
    </row>
    <row r="7074">
      <c r="A7074" s="1"/>
    </row>
    <row r="7075">
      <c r="A7075" s="1"/>
    </row>
    <row r="7076">
      <c r="A7076" s="1"/>
    </row>
    <row r="7077">
      <c r="A7077" s="1"/>
    </row>
    <row r="7078">
      <c r="A7078" s="1"/>
    </row>
    <row r="7079">
      <c r="A7079" s="1"/>
    </row>
    <row r="7080">
      <c r="A7080" s="1"/>
    </row>
    <row r="7081">
      <c r="A7081" s="1"/>
    </row>
    <row r="7082">
      <c r="A7082" s="1"/>
    </row>
    <row r="7083">
      <c r="A7083" s="1"/>
    </row>
    <row r="7084">
      <c r="A7084" s="1"/>
    </row>
    <row r="7085">
      <c r="A7085" s="1"/>
    </row>
    <row r="7086">
      <c r="A7086" s="1"/>
    </row>
    <row r="7087">
      <c r="A7087" s="1"/>
    </row>
    <row r="7088">
      <c r="A7088" s="1"/>
    </row>
    <row r="7089">
      <c r="A7089" s="1"/>
    </row>
    <row r="7090">
      <c r="A7090" s="1"/>
    </row>
    <row r="7091">
      <c r="A7091" s="1"/>
    </row>
    <row r="7092">
      <c r="A7092" s="1"/>
    </row>
    <row r="7093">
      <c r="A7093" s="1"/>
    </row>
    <row r="7094">
      <c r="A7094" s="1"/>
    </row>
    <row r="7095">
      <c r="A7095" s="1"/>
    </row>
    <row r="7096">
      <c r="A7096" s="1"/>
    </row>
    <row r="7097">
      <c r="A7097" s="1"/>
    </row>
    <row r="7098">
      <c r="A7098" s="1"/>
    </row>
    <row r="7099">
      <c r="A7099" s="1"/>
    </row>
    <row r="7100">
      <c r="A7100" s="1"/>
    </row>
    <row r="7101">
      <c r="A7101" s="1"/>
    </row>
    <row r="7102">
      <c r="A7102" s="1"/>
    </row>
    <row r="7103">
      <c r="A7103" s="1"/>
    </row>
    <row r="7104">
      <c r="A7104" s="1"/>
    </row>
    <row r="7105">
      <c r="A7105" s="1"/>
    </row>
    <row r="7106">
      <c r="A7106" s="1"/>
    </row>
    <row r="7107">
      <c r="A7107" s="1"/>
    </row>
    <row r="7108">
      <c r="A7108" s="1"/>
    </row>
    <row r="7109">
      <c r="A7109" s="1"/>
    </row>
    <row r="7110">
      <c r="A7110" s="1"/>
    </row>
    <row r="7111">
      <c r="A7111" s="1"/>
    </row>
    <row r="7112">
      <c r="A7112" s="1"/>
    </row>
    <row r="7113">
      <c r="A7113" s="1"/>
    </row>
    <row r="7114">
      <c r="A7114" s="1"/>
    </row>
    <row r="7115">
      <c r="A7115" s="1"/>
    </row>
    <row r="7116">
      <c r="A7116" s="1"/>
    </row>
    <row r="7117">
      <c r="A7117" s="1"/>
    </row>
    <row r="7118">
      <c r="A7118" s="1"/>
    </row>
    <row r="7119">
      <c r="A7119" s="1"/>
    </row>
    <row r="7120">
      <c r="A7120" s="1"/>
    </row>
    <row r="7121">
      <c r="A7121" s="1"/>
    </row>
    <row r="7122">
      <c r="A7122" s="1"/>
    </row>
    <row r="7123">
      <c r="A7123" s="1"/>
    </row>
    <row r="7124">
      <c r="A7124" s="1"/>
    </row>
    <row r="7125">
      <c r="A7125" s="1"/>
    </row>
    <row r="7126">
      <c r="A7126" s="1"/>
    </row>
    <row r="7127">
      <c r="A7127" s="1"/>
    </row>
    <row r="7128">
      <c r="A7128" s="1"/>
    </row>
    <row r="7129">
      <c r="A7129" s="1"/>
    </row>
    <row r="7130">
      <c r="A7130" s="1"/>
    </row>
    <row r="7131">
      <c r="A7131" s="1"/>
    </row>
    <row r="7132">
      <c r="A7132" s="1"/>
    </row>
    <row r="7133">
      <c r="A7133" s="1"/>
    </row>
    <row r="7134">
      <c r="A7134" s="1"/>
    </row>
    <row r="7135">
      <c r="A7135" s="1"/>
    </row>
    <row r="7136">
      <c r="A7136" s="1"/>
    </row>
    <row r="7137">
      <c r="A7137" s="1"/>
    </row>
    <row r="7138">
      <c r="A7138" s="1"/>
    </row>
    <row r="7139">
      <c r="A7139" s="1"/>
    </row>
    <row r="7140">
      <c r="A7140" s="1"/>
    </row>
    <row r="7141">
      <c r="A7141" s="1"/>
    </row>
    <row r="7142">
      <c r="A7142" s="1"/>
    </row>
    <row r="7143">
      <c r="A7143" s="1"/>
    </row>
    <row r="7144">
      <c r="A7144" s="1"/>
    </row>
    <row r="7145">
      <c r="A7145" s="1"/>
    </row>
    <row r="7146">
      <c r="A7146" s="1"/>
    </row>
    <row r="7147">
      <c r="A7147" s="1"/>
    </row>
    <row r="7148">
      <c r="A7148" s="1"/>
    </row>
    <row r="7149">
      <c r="A7149" s="1"/>
    </row>
    <row r="7150">
      <c r="A7150" s="1"/>
    </row>
    <row r="7151">
      <c r="A7151" s="1"/>
    </row>
    <row r="7152">
      <c r="A7152" s="1"/>
    </row>
    <row r="7153">
      <c r="A7153" s="1"/>
    </row>
    <row r="7154">
      <c r="A7154" s="1"/>
    </row>
    <row r="7155">
      <c r="A7155" s="1"/>
    </row>
    <row r="7156">
      <c r="A7156" s="1"/>
    </row>
    <row r="7157">
      <c r="A7157" s="1"/>
    </row>
    <row r="7158">
      <c r="A7158" s="1"/>
    </row>
    <row r="7159">
      <c r="A7159" s="1"/>
    </row>
    <row r="7160">
      <c r="A7160" s="1"/>
    </row>
    <row r="7161">
      <c r="A7161" s="1"/>
    </row>
    <row r="7162">
      <c r="A7162" s="1"/>
    </row>
    <row r="7163">
      <c r="A7163" s="1"/>
    </row>
    <row r="7164">
      <c r="A7164" s="1"/>
    </row>
    <row r="7165">
      <c r="A7165" s="1"/>
    </row>
    <row r="7166">
      <c r="A7166" s="1"/>
    </row>
    <row r="7167">
      <c r="A7167" s="1"/>
    </row>
    <row r="7168">
      <c r="A7168" s="1"/>
    </row>
    <row r="7169">
      <c r="A7169" s="1"/>
    </row>
    <row r="7170">
      <c r="A7170" s="1"/>
    </row>
    <row r="7171">
      <c r="A7171" s="1"/>
    </row>
    <row r="7172">
      <c r="A7172" s="1"/>
    </row>
    <row r="7173">
      <c r="A7173" s="1"/>
    </row>
    <row r="7174">
      <c r="A7174" s="1"/>
    </row>
    <row r="7175">
      <c r="A7175" s="1"/>
    </row>
    <row r="7176">
      <c r="A7176" s="1"/>
    </row>
    <row r="7177">
      <c r="A7177" s="1"/>
    </row>
    <row r="7178">
      <c r="A7178" s="1"/>
    </row>
    <row r="7179">
      <c r="A7179" s="1"/>
    </row>
    <row r="7180">
      <c r="A7180" s="1"/>
    </row>
    <row r="7181">
      <c r="A7181" s="1"/>
    </row>
    <row r="7182">
      <c r="A7182" s="1"/>
    </row>
    <row r="7183">
      <c r="A7183" s="1"/>
    </row>
    <row r="7184">
      <c r="A7184" s="1"/>
    </row>
    <row r="7185">
      <c r="A7185" s="1"/>
    </row>
    <row r="7186">
      <c r="A7186" s="1"/>
    </row>
    <row r="7187">
      <c r="A7187" s="1"/>
    </row>
    <row r="7188">
      <c r="A7188" s="1"/>
    </row>
    <row r="7189">
      <c r="A7189" s="1"/>
    </row>
    <row r="7190">
      <c r="A7190" s="1"/>
    </row>
    <row r="7191">
      <c r="A7191" s="1"/>
    </row>
    <row r="7192">
      <c r="A7192" s="1"/>
    </row>
    <row r="7193">
      <c r="A7193" s="1"/>
    </row>
    <row r="7194">
      <c r="A7194" s="1"/>
    </row>
    <row r="7195">
      <c r="A7195" s="1"/>
    </row>
    <row r="7196">
      <c r="A7196" s="1"/>
    </row>
    <row r="7197">
      <c r="A7197" s="1"/>
    </row>
    <row r="7198">
      <c r="A7198" s="1"/>
    </row>
    <row r="7199">
      <c r="A7199" s="1"/>
    </row>
    <row r="7200">
      <c r="A7200" s="1"/>
    </row>
    <row r="7201">
      <c r="A7201" s="1"/>
    </row>
    <row r="7202">
      <c r="A7202" s="1"/>
    </row>
    <row r="7203">
      <c r="A7203" s="1"/>
    </row>
    <row r="7204">
      <c r="A7204" s="1"/>
    </row>
    <row r="7205">
      <c r="A7205" s="1"/>
    </row>
    <row r="7206">
      <c r="A7206" s="1"/>
    </row>
    <row r="7207">
      <c r="A7207" s="1"/>
    </row>
    <row r="7208">
      <c r="A7208" s="1"/>
    </row>
    <row r="7209">
      <c r="A7209" s="1"/>
    </row>
    <row r="7210">
      <c r="A7210" s="1"/>
    </row>
    <row r="7211">
      <c r="A7211" s="1"/>
    </row>
    <row r="7212">
      <c r="A7212" s="1"/>
    </row>
    <row r="7213">
      <c r="A7213" s="1"/>
    </row>
    <row r="7214">
      <c r="A7214" s="1"/>
    </row>
    <row r="7215">
      <c r="A7215" s="1"/>
    </row>
    <row r="7216">
      <c r="A7216" s="1"/>
    </row>
    <row r="7217">
      <c r="A7217" s="1"/>
    </row>
    <row r="7218">
      <c r="A7218" s="1"/>
    </row>
    <row r="7219">
      <c r="A7219" s="1"/>
    </row>
    <row r="7220">
      <c r="A7220" s="1"/>
    </row>
    <row r="7221">
      <c r="A7221" s="1"/>
    </row>
    <row r="7222">
      <c r="A7222" s="1"/>
    </row>
    <row r="7223">
      <c r="A7223" s="1"/>
    </row>
    <row r="7224">
      <c r="A7224" s="1"/>
    </row>
    <row r="7225">
      <c r="A7225" s="1"/>
    </row>
    <row r="7226">
      <c r="A7226" s="1"/>
    </row>
    <row r="7227">
      <c r="A7227" s="1"/>
    </row>
    <row r="7228">
      <c r="A7228" s="1"/>
    </row>
    <row r="7229">
      <c r="A7229" s="1"/>
    </row>
    <row r="7230">
      <c r="A7230" s="1"/>
    </row>
    <row r="7231">
      <c r="A7231" s="1"/>
    </row>
    <row r="7232">
      <c r="A7232" s="1"/>
    </row>
    <row r="7233">
      <c r="A7233" s="1"/>
    </row>
    <row r="7234">
      <c r="A7234" s="1"/>
    </row>
    <row r="7235">
      <c r="A7235" s="1"/>
    </row>
    <row r="7236">
      <c r="A7236" s="1"/>
    </row>
    <row r="7237">
      <c r="A7237" s="1"/>
    </row>
    <row r="7238">
      <c r="A7238" s="1"/>
    </row>
    <row r="7239">
      <c r="A7239" s="1"/>
    </row>
    <row r="7240">
      <c r="A7240" s="1"/>
    </row>
    <row r="7241">
      <c r="A7241" s="1"/>
    </row>
    <row r="7242">
      <c r="A7242" s="1"/>
    </row>
    <row r="7243">
      <c r="A7243" s="1"/>
    </row>
    <row r="7244">
      <c r="A7244" s="1"/>
    </row>
    <row r="7245">
      <c r="A7245" s="1"/>
    </row>
    <row r="7246">
      <c r="A7246" s="1"/>
    </row>
    <row r="7247">
      <c r="A7247" s="1"/>
    </row>
    <row r="7248">
      <c r="A7248" s="1"/>
    </row>
    <row r="7249">
      <c r="A7249" s="1"/>
    </row>
    <row r="7250">
      <c r="A7250" s="1"/>
    </row>
    <row r="7251">
      <c r="A7251" s="1"/>
    </row>
    <row r="7252">
      <c r="A7252" s="1"/>
    </row>
    <row r="7253">
      <c r="A7253" s="1"/>
    </row>
    <row r="7254">
      <c r="A7254" s="1"/>
    </row>
    <row r="7255">
      <c r="A7255" s="1"/>
    </row>
    <row r="7256">
      <c r="A7256" s="1"/>
    </row>
    <row r="7257">
      <c r="A7257" s="1"/>
    </row>
    <row r="7258">
      <c r="A7258" s="1"/>
    </row>
    <row r="7259">
      <c r="A7259" s="1"/>
    </row>
    <row r="7260">
      <c r="A7260" s="1"/>
    </row>
    <row r="7261">
      <c r="A7261" s="1"/>
    </row>
    <row r="7262">
      <c r="A7262" s="1"/>
    </row>
    <row r="7263">
      <c r="A7263" s="1"/>
    </row>
    <row r="7264">
      <c r="A7264" s="1"/>
    </row>
    <row r="7265">
      <c r="A7265" s="1"/>
    </row>
    <row r="7266">
      <c r="A7266" s="1"/>
    </row>
    <row r="7267">
      <c r="A7267" s="1"/>
    </row>
    <row r="7268">
      <c r="A7268" s="1"/>
    </row>
    <row r="7269">
      <c r="A7269" s="1"/>
    </row>
    <row r="7270">
      <c r="A7270" s="1"/>
    </row>
    <row r="7271">
      <c r="A7271" s="1"/>
    </row>
    <row r="7272">
      <c r="A7272" s="1"/>
    </row>
    <row r="7273">
      <c r="A7273" s="1"/>
    </row>
    <row r="7274">
      <c r="A7274" s="1"/>
    </row>
    <row r="7275">
      <c r="A7275" s="1"/>
    </row>
    <row r="7276">
      <c r="A7276" s="1"/>
    </row>
    <row r="7277">
      <c r="A7277" s="1"/>
    </row>
    <row r="7278">
      <c r="A7278" s="1"/>
    </row>
    <row r="7279">
      <c r="A7279" s="1"/>
    </row>
    <row r="7280">
      <c r="A7280" s="1"/>
    </row>
    <row r="7281">
      <c r="A7281" s="1"/>
    </row>
    <row r="7282">
      <c r="A7282" s="1"/>
    </row>
    <row r="7283">
      <c r="A7283" s="1"/>
    </row>
    <row r="7284">
      <c r="A7284" s="1"/>
    </row>
    <row r="7285">
      <c r="A7285" s="1"/>
    </row>
    <row r="7286">
      <c r="A7286" s="1"/>
    </row>
    <row r="7287">
      <c r="A7287" s="1"/>
    </row>
    <row r="7288">
      <c r="A7288" s="1"/>
    </row>
    <row r="7289">
      <c r="A7289" s="1"/>
    </row>
    <row r="7290">
      <c r="A7290" s="1"/>
    </row>
    <row r="7291">
      <c r="A7291" s="1"/>
    </row>
    <row r="7292">
      <c r="A7292" s="1"/>
    </row>
    <row r="7293">
      <c r="A7293" s="1"/>
    </row>
    <row r="7294">
      <c r="A7294" s="1"/>
    </row>
    <row r="7295">
      <c r="A7295" s="1"/>
    </row>
    <row r="7296">
      <c r="A7296" s="1"/>
    </row>
    <row r="7297">
      <c r="A7297" s="1"/>
    </row>
    <row r="7298">
      <c r="A7298" s="1"/>
    </row>
    <row r="7299">
      <c r="A7299" s="1"/>
    </row>
    <row r="7300">
      <c r="A7300" s="1"/>
    </row>
    <row r="7301">
      <c r="A7301" s="1"/>
    </row>
    <row r="7302">
      <c r="A7302" s="1"/>
    </row>
    <row r="7303">
      <c r="A7303" s="1"/>
    </row>
    <row r="7304">
      <c r="A7304" s="1"/>
    </row>
    <row r="7305">
      <c r="A7305" s="1"/>
    </row>
    <row r="7306">
      <c r="A7306" s="1"/>
    </row>
    <row r="7307">
      <c r="A7307" s="1"/>
    </row>
    <row r="7308">
      <c r="A7308" s="1"/>
    </row>
    <row r="7309">
      <c r="A7309" s="1"/>
    </row>
    <row r="7310">
      <c r="A7310" s="1"/>
    </row>
    <row r="7311">
      <c r="A7311" s="1"/>
    </row>
    <row r="7312">
      <c r="A7312" s="1"/>
    </row>
    <row r="7313">
      <c r="A7313" s="1"/>
    </row>
    <row r="7314">
      <c r="A7314" s="1"/>
    </row>
    <row r="7315">
      <c r="A7315" s="1"/>
    </row>
    <row r="7316">
      <c r="A7316" s="1"/>
    </row>
    <row r="7317">
      <c r="A7317" s="1"/>
    </row>
    <row r="7318">
      <c r="A7318" s="1"/>
    </row>
    <row r="7319">
      <c r="A7319" s="1"/>
    </row>
    <row r="7320">
      <c r="A7320" s="1"/>
    </row>
    <row r="7321">
      <c r="A7321" s="1"/>
    </row>
    <row r="7322">
      <c r="A7322" s="1"/>
    </row>
    <row r="7323">
      <c r="A7323" s="1"/>
    </row>
    <row r="7324">
      <c r="A7324" s="1"/>
    </row>
    <row r="7325">
      <c r="A7325" s="1"/>
    </row>
    <row r="7326">
      <c r="A7326" s="1"/>
    </row>
    <row r="7327">
      <c r="A7327" s="1"/>
    </row>
    <row r="7328">
      <c r="A7328" s="1"/>
    </row>
    <row r="7329">
      <c r="A7329" s="1"/>
    </row>
    <row r="7330">
      <c r="A7330" s="1"/>
    </row>
    <row r="7331">
      <c r="A7331" s="1"/>
    </row>
    <row r="7332">
      <c r="A7332" s="1"/>
    </row>
    <row r="7333">
      <c r="A7333" s="1"/>
    </row>
    <row r="7334">
      <c r="A7334" s="1"/>
    </row>
    <row r="7335">
      <c r="A7335" s="1"/>
    </row>
    <row r="7336">
      <c r="A7336" s="1"/>
    </row>
    <row r="7337">
      <c r="A7337" s="1"/>
    </row>
    <row r="7338">
      <c r="A7338" s="1"/>
    </row>
    <row r="7339">
      <c r="A7339" s="1"/>
    </row>
    <row r="7340">
      <c r="A7340" s="1"/>
    </row>
    <row r="7341">
      <c r="A7341" s="1"/>
    </row>
    <row r="7342">
      <c r="A7342" s="1"/>
    </row>
    <row r="7343">
      <c r="A7343" s="1"/>
    </row>
    <row r="7344">
      <c r="A7344" s="1"/>
    </row>
    <row r="7345">
      <c r="A7345" s="1"/>
    </row>
    <row r="7346">
      <c r="A7346" s="1"/>
    </row>
    <row r="7347">
      <c r="A7347" s="1"/>
    </row>
    <row r="7348">
      <c r="A7348" s="1"/>
    </row>
    <row r="7349">
      <c r="A7349" s="1"/>
    </row>
    <row r="7350">
      <c r="A7350" s="1"/>
    </row>
    <row r="7351">
      <c r="A7351" s="1"/>
    </row>
    <row r="7352">
      <c r="A7352" s="1"/>
    </row>
    <row r="7353">
      <c r="A7353" s="1"/>
    </row>
    <row r="7354">
      <c r="A7354" s="1"/>
    </row>
    <row r="7355">
      <c r="A7355" s="1"/>
    </row>
    <row r="7356">
      <c r="A7356" s="1"/>
    </row>
    <row r="7357">
      <c r="A7357" s="1"/>
    </row>
    <row r="7358">
      <c r="A7358" s="1"/>
    </row>
    <row r="7359">
      <c r="A7359" s="1"/>
    </row>
    <row r="7360">
      <c r="A7360" s="1"/>
    </row>
    <row r="7361">
      <c r="A7361" s="1"/>
    </row>
    <row r="7362">
      <c r="A7362" s="1"/>
    </row>
    <row r="7363">
      <c r="A7363" s="1"/>
    </row>
    <row r="7364">
      <c r="A7364" s="1"/>
    </row>
    <row r="7365">
      <c r="A7365" s="1"/>
    </row>
    <row r="7366">
      <c r="A7366" s="1"/>
    </row>
    <row r="7367">
      <c r="A7367" s="1"/>
    </row>
    <row r="7368">
      <c r="A7368" s="1"/>
    </row>
    <row r="7369">
      <c r="A7369" s="1"/>
    </row>
    <row r="7370">
      <c r="A7370" s="1"/>
    </row>
    <row r="7371">
      <c r="A7371" s="1"/>
    </row>
    <row r="7372">
      <c r="A7372" s="1"/>
    </row>
    <row r="7373">
      <c r="A7373" s="1"/>
    </row>
    <row r="7374">
      <c r="A7374" s="1"/>
    </row>
    <row r="7375">
      <c r="A7375" s="1"/>
    </row>
    <row r="7376">
      <c r="A7376" s="1"/>
    </row>
    <row r="7377">
      <c r="A7377" s="1"/>
    </row>
    <row r="7378">
      <c r="A7378" s="1"/>
    </row>
    <row r="7379">
      <c r="A7379" s="1"/>
    </row>
    <row r="7380">
      <c r="A7380" s="1"/>
    </row>
    <row r="7381">
      <c r="A7381" s="1"/>
    </row>
    <row r="7382">
      <c r="A7382" s="1"/>
    </row>
    <row r="7383">
      <c r="A7383" s="1"/>
    </row>
    <row r="7384">
      <c r="A7384" s="1"/>
    </row>
    <row r="7385">
      <c r="A7385" s="1"/>
    </row>
    <row r="7386">
      <c r="A7386" s="1"/>
    </row>
    <row r="7387">
      <c r="A7387" s="1"/>
    </row>
    <row r="7388">
      <c r="A7388" s="1"/>
    </row>
    <row r="7389">
      <c r="A7389" s="1"/>
    </row>
    <row r="7390">
      <c r="A7390" s="1"/>
    </row>
    <row r="7391">
      <c r="A7391" s="1"/>
    </row>
    <row r="7392">
      <c r="A7392" s="1"/>
    </row>
    <row r="7393">
      <c r="A7393" s="1"/>
    </row>
    <row r="7394">
      <c r="A7394" s="1"/>
    </row>
    <row r="7395">
      <c r="A7395" s="1"/>
    </row>
    <row r="7396">
      <c r="A7396" s="1"/>
    </row>
    <row r="7397">
      <c r="A7397" s="1"/>
    </row>
    <row r="7398">
      <c r="A7398" s="1"/>
    </row>
    <row r="7399">
      <c r="A7399" s="1"/>
    </row>
    <row r="7400">
      <c r="A7400" s="1"/>
    </row>
    <row r="7401">
      <c r="A7401" s="1"/>
    </row>
    <row r="7402">
      <c r="A7402" s="1"/>
    </row>
    <row r="7403">
      <c r="A7403" s="1"/>
    </row>
    <row r="7404">
      <c r="A7404" s="1"/>
    </row>
    <row r="7405">
      <c r="A7405" s="1"/>
    </row>
    <row r="7406">
      <c r="A7406" s="1"/>
    </row>
    <row r="7407">
      <c r="A7407" s="1"/>
    </row>
    <row r="7408">
      <c r="A7408" s="1"/>
    </row>
    <row r="7409">
      <c r="A7409" s="1"/>
    </row>
    <row r="7410">
      <c r="A7410" s="1"/>
    </row>
    <row r="7411">
      <c r="A7411" s="1"/>
    </row>
    <row r="7412">
      <c r="A7412" s="1"/>
    </row>
    <row r="7413">
      <c r="A7413" s="1"/>
    </row>
    <row r="7414">
      <c r="A7414" s="1"/>
    </row>
    <row r="7415">
      <c r="A7415" s="1"/>
    </row>
    <row r="7416">
      <c r="A7416" s="1"/>
    </row>
    <row r="7417">
      <c r="A7417" s="1"/>
    </row>
    <row r="7418">
      <c r="A7418" s="1"/>
    </row>
    <row r="7419">
      <c r="A7419" s="1"/>
    </row>
    <row r="7420">
      <c r="A7420" s="1"/>
    </row>
    <row r="7421">
      <c r="A7421" s="1"/>
    </row>
    <row r="7422">
      <c r="A7422" s="1"/>
    </row>
    <row r="7423">
      <c r="A7423" s="1"/>
    </row>
    <row r="7424">
      <c r="A7424" s="1"/>
    </row>
    <row r="7425">
      <c r="A7425" s="1"/>
    </row>
    <row r="7426">
      <c r="A7426" s="1"/>
    </row>
    <row r="7427">
      <c r="A7427" s="1"/>
    </row>
    <row r="7428">
      <c r="A7428" s="1"/>
    </row>
    <row r="7429">
      <c r="A7429" s="1"/>
    </row>
    <row r="7430">
      <c r="A7430" s="1"/>
    </row>
    <row r="7431">
      <c r="A7431" s="1"/>
    </row>
    <row r="7432">
      <c r="A7432" s="1"/>
    </row>
    <row r="7433">
      <c r="A7433" s="1"/>
    </row>
    <row r="7434">
      <c r="A7434" s="1"/>
    </row>
    <row r="7435">
      <c r="A7435" s="1"/>
    </row>
    <row r="7436">
      <c r="A7436" s="1"/>
    </row>
    <row r="7437">
      <c r="A7437" s="1"/>
    </row>
    <row r="7438">
      <c r="A7438" s="1"/>
    </row>
    <row r="7439">
      <c r="A7439" s="1"/>
    </row>
    <row r="7440">
      <c r="A7440" s="1"/>
    </row>
    <row r="7441">
      <c r="A7441" s="1"/>
    </row>
    <row r="7442">
      <c r="A7442" s="1"/>
    </row>
    <row r="7443">
      <c r="A7443" s="1"/>
    </row>
    <row r="7444">
      <c r="A7444" s="1"/>
    </row>
    <row r="7445">
      <c r="A7445" s="1"/>
    </row>
    <row r="7446">
      <c r="A7446" s="1"/>
    </row>
    <row r="7447">
      <c r="A7447" s="1"/>
    </row>
    <row r="7448">
      <c r="A7448" s="1"/>
    </row>
    <row r="7449">
      <c r="A7449" s="1"/>
    </row>
    <row r="7450">
      <c r="A7450" s="1"/>
    </row>
    <row r="7451">
      <c r="A7451" s="1"/>
    </row>
    <row r="7452">
      <c r="A7452" s="1"/>
    </row>
    <row r="7453">
      <c r="A7453" s="1"/>
    </row>
    <row r="7454">
      <c r="A7454" s="1"/>
    </row>
    <row r="7455">
      <c r="A7455" s="1"/>
    </row>
    <row r="7456">
      <c r="A7456" s="1"/>
    </row>
    <row r="7457">
      <c r="A7457" s="1"/>
    </row>
    <row r="7458">
      <c r="A7458" s="1"/>
    </row>
    <row r="7459">
      <c r="A7459" s="1"/>
    </row>
    <row r="7460">
      <c r="A7460" s="1"/>
    </row>
    <row r="7461">
      <c r="A7461" s="1"/>
    </row>
    <row r="7462">
      <c r="A7462" s="1"/>
    </row>
    <row r="7463">
      <c r="A7463" s="1"/>
    </row>
    <row r="7464">
      <c r="A7464" s="1"/>
    </row>
    <row r="7465">
      <c r="A7465" s="1"/>
    </row>
    <row r="7466">
      <c r="A7466" s="1"/>
    </row>
    <row r="7467">
      <c r="A7467" s="1"/>
    </row>
    <row r="7468">
      <c r="A7468" s="1"/>
    </row>
    <row r="7469">
      <c r="A7469" s="1"/>
    </row>
    <row r="7470">
      <c r="A7470" s="1"/>
    </row>
    <row r="7471">
      <c r="A7471" s="1"/>
    </row>
    <row r="7472">
      <c r="A7472" s="1"/>
    </row>
    <row r="7473">
      <c r="A7473" s="1"/>
    </row>
    <row r="7474">
      <c r="A7474" s="1"/>
    </row>
    <row r="7475">
      <c r="A7475" s="1"/>
    </row>
    <row r="7476">
      <c r="A7476" s="1"/>
    </row>
    <row r="7477">
      <c r="A7477" s="1"/>
    </row>
    <row r="7478">
      <c r="A7478" s="1"/>
    </row>
    <row r="7479">
      <c r="A7479" s="1"/>
    </row>
    <row r="7480">
      <c r="A7480" s="1"/>
    </row>
    <row r="7481">
      <c r="A7481" s="1"/>
    </row>
    <row r="7482">
      <c r="A7482" s="1"/>
    </row>
    <row r="7483">
      <c r="A7483" s="1"/>
    </row>
    <row r="7484">
      <c r="A7484" s="1"/>
    </row>
    <row r="7485">
      <c r="A7485" s="1"/>
    </row>
    <row r="7486">
      <c r="A7486" s="1"/>
    </row>
    <row r="7487">
      <c r="A7487" s="1"/>
    </row>
    <row r="7488">
      <c r="A7488" s="1"/>
    </row>
    <row r="7489">
      <c r="A7489" s="1"/>
    </row>
    <row r="7490">
      <c r="A7490" s="1"/>
    </row>
    <row r="7491">
      <c r="A7491" s="1"/>
    </row>
    <row r="7492">
      <c r="A7492" s="1"/>
    </row>
    <row r="7493">
      <c r="A7493" s="1"/>
    </row>
    <row r="7494">
      <c r="A7494" s="1"/>
    </row>
    <row r="7495">
      <c r="A7495" s="1"/>
    </row>
    <row r="7496">
      <c r="A7496" s="1"/>
    </row>
    <row r="7497">
      <c r="A7497" s="1"/>
    </row>
    <row r="7498">
      <c r="A7498" s="1"/>
    </row>
    <row r="7499">
      <c r="A7499" s="1"/>
    </row>
    <row r="7500">
      <c r="A7500" s="1"/>
    </row>
    <row r="7501">
      <c r="A7501" s="1"/>
    </row>
    <row r="7502">
      <c r="A7502" s="1"/>
    </row>
    <row r="7503">
      <c r="A7503" s="1"/>
    </row>
    <row r="7504">
      <c r="A7504" s="1"/>
    </row>
    <row r="7505">
      <c r="A7505" s="1"/>
    </row>
    <row r="7506">
      <c r="A7506" s="1"/>
    </row>
    <row r="7507">
      <c r="A7507" s="1"/>
    </row>
    <row r="7508">
      <c r="A7508" s="1"/>
    </row>
    <row r="7509">
      <c r="A7509" s="1"/>
    </row>
    <row r="7510">
      <c r="A7510" s="1"/>
    </row>
    <row r="7511">
      <c r="A7511" s="1"/>
    </row>
    <row r="7512">
      <c r="A7512" s="1"/>
    </row>
    <row r="7513">
      <c r="A7513" s="1"/>
    </row>
    <row r="7514">
      <c r="A7514" s="1"/>
    </row>
    <row r="7515">
      <c r="A7515" s="1"/>
    </row>
    <row r="7516">
      <c r="A7516" s="1"/>
    </row>
    <row r="7517">
      <c r="A7517" s="1"/>
    </row>
    <row r="7518">
      <c r="A7518" s="1"/>
    </row>
    <row r="7519">
      <c r="A7519" s="1"/>
    </row>
    <row r="7520">
      <c r="A7520" s="1"/>
    </row>
    <row r="7521">
      <c r="A7521" s="1"/>
    </row>
    <row r="7522">
      <c r="A7522" s="1"/>
    </row>
    <row r="7523">
      <c r="A7523" s="1"/>
    </row>
    <row r="7524">
      <c r="A7524" s="1"/>
    </row>
    <row r="7525">
      <c r="A7525" s="1"/>
    </row>
    <row r="7526">
      <c r="A7526" s="1"/>
    </row>
    <row r="7527">
      <c r="A7527" s="1"/>
    </row>
    <row r="7528">
      <c r="A7528" s="1"/>
    </row>
    <row r="7529">
      <c r="A7529" s="1"/>
    </row>
    <row r="7530">
      <c r="A7530" s="1"/>
    </row>
    <row r="7531">
      <c r="A7531" s="1"/>
    </row>
    <row r="7532">
      <c r="A7532" s="1"/>
    </row>
    <row r="7533">
      <c r="A7533" s="1"/>
    </row>
    <row r="7534">
      <c r="A7534" s="1"/>
    </row>
    <row r="7535">
      <c r="A7535" s="1"/>
    </row>
    <row r="7536">
      <c r="A7536" s="1"/>
    </row>
    <row r="7537">
      <c r="A7537" s="1"/>
    </row>
    <row r="7538">
      <c r="A7538" s="1"/>
    </row>
    <row r="7539">
      <c r="A7539" s="1"/>
    </row>
    <row r="7540">
      <c r="A7540" s="1"/>
    </row>
    <row r="7541">
      <c r="A7541" s="1"/>
    </row>
    <row r="7542">
      <c r="A7542" s="1"/>
    </row>
    <row r="7543">
      <c r="A7543" s="1"/>
    </row>
    <row r="7544">
      <c r="A7544" s="1"/>
    </row>
    <row r="7545">
      <c r="A7545" s="1"/>
    </row>
    <row r="7546">
      <c r="A7546" s="1"/>
    </row>
    <row r="7547">
      <c r="A7547" s="1"/>
    </row>
    <row r="7548">
      <c r="A7548" s="1"/>
    </row>
    <row r="7549">
      <c r="A7549" s="1"/>
    </row>
    <row r="7550">
      <c r="A7550" s="1"/>
    </row>
    <row r="7551">
      <c r="A7551" s="1"/>
    </row>
    <row r="7552">
      <c r="A7552" s="1"/>
    </row>
    <row r="7553">
      <c r="A7553" s="1"/>
    </row>
    <row r="7554">
      <c r="A7554" s="1"/>
    </row>
    <row r="7555">
      <c r="A7555" s="1"/>
    </row>
    <row r="7556">
      <c r="A7556" s="1"/>
    </row>
    <row r="7557">
      <c r="A7557" s="1"/>
    </row>
    <row r="7558">
      <c r="A7558" s="1"/>
    </row>
    <row r="7559">
      <c r="A7559" s="1"/>
    </row>
    <row r="7560">
      <c r="A7560" s="1"/>
    </row>
    <row r="7561">
      <c r="A7561" s="1"/>
    </row>
    <row r="7562">
      <c r="A7562" s="1"/>
    </row>
    <row r="7563">
      <c r="A7563" s="1"/>
    </row>
    <row r="7564">
      <c r="A7564" s="1"/>
    </row>
    <row r="7565">
      <c r="A7565" s="1"/>
    </row>
    <row r="7566">
      <c r="A7566" s="1"/>
    </row>
    <row r="7567">
      <c r="A7567" s="1"/>
    </row>
    <row r="7568">
      <c r="A7568" s="1"/>
    </row>
    <row r="7569">
      <c r="A7569" s="1"/>
    </row>
    <row r="7570">
      <c r="A7570" s="1"/>
    </row>
    <row r="7571">
      <c r="A7571" s="1"/>
    </row>
    <row r="7572">
      <c r="A7572" s="1"/>
    </row>
    <row r="7573">
      <c r="A7573" s="1"/>
    </row>
    <row r="7574">
      <c r="A7574" s="1"/>
    </row>
    <row r="7575">
      <c r="A7575" s="1"/>
    </row>
    <row r="7576">
      <c r="A7576" s="1"/>
    </row>
    <row r="7577">
      <c r="A7577" s="1"/>
    </row>
    <row r="7578">
      <c r="A7578" s="1"/>
    </row>
    <row r="7579">
      <c r="A7579" s="1"/>
    </row>
    <row r="7580">
      <c r="A7580" s="1"/>
    </row>
    <row r="7581">
      <c r="A7581" s="1"/>
    </row>
    <row r="7582">
      <c r="A7582" s="1"/>
    </row>
    <row r="7583">
      <c r="A7583" s="1"/>
    </row>
    <row r="7584">
      <c r="A7584" s="1"/>
    </row>
    <row r="7585">
      <c r="A7585" s="1"/>
    </row>
    <row r="7586">
      <c r="A7586" s="1"/>
    </row>
    <row r="7587">
      <c r="A7587" s="1"/>
    </row>
    <row r="7588">
      <c r="A7588" s="1"/>
    </row>
    <row r="7589">
      <c r="A7589" s="1"/>
    </row>
    <row r="7590">
      <c r="A7590" s="1"/>
    </row>
    <row r="7591">
      <c r="A7591" s="1"/>
    </row>
    <row r="7592">
      <c r="A7592" s="1"/>
    </row>
    <row r="7593">
      <c r="A7593" s="1"/>
    </row>
    <row r="7594">
      <c r="A7594" s="1"/>
    </row>
    <row r="7595">
      <c r="A7595" s="1"/>
    </row>
    <row r="7596">
      <c r="A7596" s="1"/>
    </row>
    <row r="7597">
      <c r="A7597" s="1"/>
    </row>
    <row r="7598">
      <c r="A7598" s="1"/>
    </row>
    <row r="7599">
      <c r="A7599" s="1"/>
    </row>
    <row r="7600">
      <c r="A7600" s="1"/>
    </row>
    <row r="7601">
      <c r="A7601" s="1"/>
    </row>
    <row r="7602">
      <c r="A7602" s="1"/>
    </row>
    <row r="7603">
      <c r="A7603" s="1"/>
    </row>
    <row r="7604">
      <c r="A7604" s="1"/>
    </row>
    <row r="7605">
      <c r="A7605" s="1"/>
    </row>
    <row r="7606">
      <c r="A7606" s="1"/>
    </row>
    <row r="7607">
      <c r="A7607" s="1"/>
    </row>
    <row r="7608">
      <c r="A7608" s="1"/>
    </row>
    <row r="7609">
      <c r="A7609" s="1"/>
    </row>
    <row r="7610">
      <c r="A7610" s="1"/>
    </row>
    <row r="7611">
      <c r="A7611" s="1"/>
    </row>
    <row r="7612">
      <c r="A7612" s="1"/>
    </row>
    <row r="7613">
      <c r="A7613" s="1"/>
    </row>
    <row r="7614">
      <c r="A7614" s="1"/>
    </row>
    <row r="7615">
      <c r="A7615" s="1"/>
    </row>
    <row r="7616">
      <c r="A7616" s="1"/>
    </row>
    <row r="7617">
      <c r="A7617" s="1"/>
    </row>
    <row r="7618">
      <c r="A7618" s="1"/>
    </row>
    <row r="7619">
      <c r="A7619" s="1"/>
    </row>
    <row r="7620">
      <c r="A7620" s="1"/>
    </row>
    <row r="7621">
      <c r="A7621" s="1"/>
    </row>
    <row r="7622">
      <c r="A7622" s="1"/>
    </row>
    <row r="7623">
      <c r="A7623" s="1"/>
    </row>
    <row r="7624">
      <c r="A7624" s="1"/>
    </row>
    <row r="7625">
      <c r="A7625" s="1"/>
    </row>
    <row r="7626">
      <c r="A7626" s="1"/>
    </row>
    <row r="7627">
      <c r="A7627" s="1"/>
    </row>
    <row r="7628">
      <c r="A7628" s="1"/>
    </row>
    <row r="7629">
      <c r="A7629" s="1"/>
    </row>
    <row r="7630">
      <c r="A7630" s="1"/>
    </row>
    <row r="7631">
      <c r="A7631" s="1"/>
    </row>
    <row r="7632">
      <c r="A7632" s="1"/>
    </row>
    <row r="7633">
      <c r="A7633" s="1"/>
    </row>
    <row r="7634">
      <c r="A7634" s="1"/>
    </row>
    <row r="7635">
      <c r="A7635" s="1"/>
    </row>
    <row r="7636">
      <c r="A7636" s="1"/>
    </row>
    <row r="7637">
      <c r="A7637" s="1"/>
    </row>
    <row r="7638">
      <c r="A7638" s="1"/>
    </row>
    <row r="7639">
      <c r="A7639" s="1"/>
    </row>
    <row r="7640">
      <c r="A7640" s="1"/>
    </row>
    <row r="7641">
      <c r="A7641" s="1"/>
    </row>
    <row r="7642">
      <c r="A7642" s="1"/>
    </row>
    <row r="7643">
      <c r="A7643" s="1"/>
    </row>
    <row r="7644">
      <c r="A7644" s="1"/>
    </row>
    <row r="7645">
      <c r="A7645" s="1"/>
    </row>
    <row r="7646">
      <c r="A7646" s="1"/>
    </row>
    <row r="7647">
      <c r="A7647" s="1"/>
    </row>
    <row r="7648">
      <c r="A7648" s="1"/>
    </row>
    <row r="7649">
      <c r="A7649" s="1"/>
    </row>
    <row r="7650">
      <c r="A7650" s="1"/>
    </row>
    <row r="7651">
      <c r="A7651" s="1"/>
    </row>
    <row r="7652">
      <c r="A7652" s="1"/>
    </row>
    <row r="7653">
      <c r="A7653" s="1"/>
    </row>
    <row r="7654">
      <c r="A7654" s="1"/>
    </row>
    <row r="7655">
      <c r="A7655" s="1"/>
    </row>
    <row r="7656">
      <c r="A7656" s="1"/>
    </row>
    <row r="7657">
      <c r="A7657" s="1"/>
    </row>
    <row r="7658">
      <c r="A7658" s="1"/>
    </row>
    <row r="7659">
      <c r="A7659" s="1"/>
    </row>
    <row r="7660">
      <c r="A7660" s="1"/>
    </row>
    <row r="7661">
      <c r="A7661" s="1"/>
    </row>
    <row r="7662">
      <c r="A7662" s="1"/>
    </row>
    <row r="7663">
      <c r="A7663" s="1"/>
    </row>
    <row r="7664">
      <c r="A7664" s="1"/>
    </row>
    <row r="7665">
      <c r="A7665" s="1"/>
    </row>
    <row r="7666">
      <c r="A7666" s="1"/>
    </row>
    <row r="7667">
      <c r="A7667" s="1"/>
    </row>
    <row r="7668">
      <c r="A7668" s="1"/>
    </row>
    <row r="7669">
      <c r="A7669" s="1"/>
    </row>
    <row r="7670">
      <c r="A7670" s="1"/>
    </row>
    <row r="7671">
      <c r="A7671" s="1"/>
    </row>
    <row r="7672">
      <c r="A7672" s="1"/>
    </row>
    <row r="7673">
      <c r="A7673" s="1"/>
    </row>
    <row r="7674">
      <c r="A7674" s="1"/>
    </row>
    <row r="7675">
      <c r="A7675" s="1"/>
    </row>
    <row r="7676">
      <c r="A7676" s="1"/>
    </row>
    <row r="7677">
      <c r="A7677" s="1"/>
    </row>
    <row r="7678">
      <c r="A7678" s="1"/>
    </row>
    <row r="7679">
      <c r="A7679" s="1"/>
    </row>
    <row r="7680">
      <c r="A7680" s="1"/>
    </row>
    <row r="7681">
      <c r="A7681" s="1"/>
    </row>
    <row r="7682">
      <c r="A7682" s="1"/>
    </row>
    <row r="7683">
      <c r="A7683" s="1"/>
    </row>
    <row r="7684">
      <c r="A7684" s="1"/>
    </row>
    <row r="7685">
      <c r="A7685" s="1"/>
    </row>
    <row r="7686">
      <c r="A7686" s="1"/>
    </row>
    <row r="7687">
      <c r="A7687" s="1"/>
    </row>
    <row r="7688">
      <c r="A7688" s="1"/>
    </row>
    <row r="7689">
      <c r="A7689" s="1"/>
    </row>
    <row r="7690">
      <c r="A7690" s="1"/>
    </row>
    <row r="7691">
      <c r="A7691" s="1"/>
    </row>
    <row r="7692">
      <c r="A7692" s="1"/>
    </row>
    <row r="7693">
      <c r="A7693" s="1"/>
    </row>
    <row r="7694">
      <c r="A7694" s="1"/>
    </row>
    <row r="7695">
      <c r="A7695" s="1"/>
    </row>
    <row r="7696">
      <c r="A7696" s="1"/>
    </row>
    <row r="7697">
      <c r="A7697" s="1"/>
    </row>
    <row r="7698">
      <c r="A7698" s="1"/>
    </row>
    <row r="7699">
      <c r="A7699" s="1"/>
    </row>
    <row r="7700">
      <c r="A7700" s="1"/>
    </row>
    <row r="7701">
      <c r="A7701" s="1"/>
    </row>
    <row r="7702">
      <c r="A7702" s="1"/>
    </row>
    <row r="7703">
      <c r="A7703" s="1"/>
    </row>
    <row r="7704">
      <c r="A7704" s="1"/>
    </row>
    <row r="7705">
      <c r="A7705" s="1"/>
    </row>
    <row r="7706">
      <c r="A7706" s="1"/>
    </row>
    <row r="7707">
      <c r="A7707" s="1"/>
    </row>
    <row r="7708">
      <c r="A7708" s="1"/>
    </row>
    <row r="7709">
      <c r="A7709" s="1"/>
    </row>
    <row r="7710">
      <c r="A7710" s="1"/>
    </row>
    <row r="7711">
      <c r="A7711" s="1"/>
    </row>
    <row r="7712">
      <c r="A7712" s="1"/>
    </row>
    <row r="7713">
      <c r="A7713" s="1"/>
    </row>
    <row r="7714">
      <c r="A7714" s="1"/>
    </row>
    <row r="7715">
      <c r="A7715" s="1"/>
    </row>
    <row r="7716">
      <c r="A7716" s="1"/>
    </row>
    <row r="7717">
      <c r="A7717" s="1"/>
    </row>
    <row r="7718">
      <c r="A7718" s="1"/>
    </row>
    <row r="7719">
      <c r="A7719" s="1"/>
    </row>
    <row r="7720">
      <c r="A7720" s="1"/>
    </row>
    <row r="7721">
      <c r="A7721" s="1"/>
    </row>
    <row r="7722">
      <c r="A7722" s="1"/>
    </row>
    <row r="7723">
      <c r="A7723" s="1"/>
    </row>
    <row r="7724">
      <c r="A7724" s="1"/>
    </row>
    <row r="7725">
      <c r="A7725" s="1"/>
    </row>
    <row r="7726">
      <c r="A7726" s="1"/>
    </row>
    <row r="7727">
      <c r="A7727" s="1"/>
    </row>
    <row r="7728">
      <c r="A7728" s="1"/>
    </row>
    <row r="7729">
      <c r="A7729" s="1"/>
    </row>
    <row r="7730">
      <c r="A7730" s="1"/>
    </row>
    <row r="7731">
      <c r="A7731" s="1"/>
    </row>
    <row r="7732">
      <c r="A7732" s="1"/>
    </row>
    <row r="7733">
      <c r="A7733" s="1"/>
    </row>
    <row r="7734">
      <c r="A7734" s="1"/>
    </row>
    <row r="7735">
      <c r="A7735" s="1"/>
    </row>
    <row r="7736">
      <c r="A7736" s="1"/>
    </row>
    <row r="7737">
      <c r="A7737" s="1"/>
    </row>
    <row r="7738">
      <c r="A7738" s="1"/>
    </row>
    <row r="7739">
      <c r="A7739" s="1"/>
    </row>
    <row r="7740">
      <c r="A7740" s="1"/>
    </row>
    <row r="7741">
      <c r="A7741" s="1"/>
    </row>
    <row r="7742">
      <c r="A7742" s="1"/>
    </row>
    <row r="7743">
      <c r="A7743" s="1"/>
    </row>
    <row r="7744">
      <c r="A7744" s="1"/>
    </row>
    <row r="7745">
      <c r="A7745" s="1"/>
    </row>
    <row r="7746">
      <c r="A7746" s="1"/>
    </row>
    <row r="7747">
      <c r="A7747" s="1"/>
    </row>
    <row r="7748">
      <c r="A7748" s="1"/>
    </row>
    <row r="7749">
      <c r="A7749" s="1"/>
    </row>
    <row r="7750">
      <c r="A7750" s="1"/>
    </row>
    <row r="7751">
      <c r="A7751" s="1"/>
    </row>
    <row r="7752">
      <c r="A7752" s="1"/>
    </row>
    <row r="7753">
      <c r="A7753" s="1"/>
    </row>
    <row r="7754">
      <c r="A7754" s="1"/>
    </row>
    <row r="7755">
      <c r="A7755" s="1"/>
    </row>
    <row r="7756">
      <c r="A7756" s="1"/>
    </row>
    <row r="7757">
      <c r="A7757" s="1"/>
    </row>
    <row r="7758">
      <c r="A7758" s="1"/>
    </row>
    <row r="7759">
      <c r="A7759" s="1"/>
    </row>
    <row r="7760">
      <c r="A7760" s="1"/>
    </row>
    <row r="7761">
      <c r="A7761" s="1"/>
    </row>
    <row r="7762">
      <c r="A7762" s="1"/>
    </row>
    <row r="7763">
      <c r="A7763" s="1"/>
    </row>
    <row r="7764">
      <c r="A7764" s="1"/>
    </row>
    <row r="7765">
      <c r="A7765" s="1"/>
    </row>
    <row r="7766">
      <c r="A7766" s="1"/>
    </row>
    <row r="7767">
      <c r="A7767" s="1"/>
    </row>
    <row r="7768">
      <c r="A7768" s="1"/>
    </row>
    <row r="7769">
      <c r="A7769" s="1"/>
    </row>
    <row r="7770">
      <c r="A7770" s="1"/>
    </row>
    <row r="7771">
      <c r="A7771" s="1"/>
    </row>
    <row r="7772">
      <c r="A7772" s="1"/>
    </row>
    <row r="7773">
      <c r="A7773" s="1"/>
    </row>
    <row r="7774">
      <c r="A7774" s="1"/>
    </row>
    <row r="7775">
      <c r="A7775" s="1"/>
    </row>
    <row r="7776">
      <c r="A7776" s="1"/>
    </row>
    <row r="7777">
      <c r="A7777" s="1"/>
    </row>
    <row r="7778">
      <c r="A7778" s="1"/>
    </row>
    <row r="7779">
      <c r="A7779" s="1"/>
    </row>
    <row r="7780">
      <c r="A7780" s="1"/>
    </row>
    <row r="7781">
      <c r="A7781" s="1"/>
    </row>
    <row r="7782">
      <c r="A7782" s="1"/>
    </row>
    <row r="7783">
      <c r="A7783" s="1"/>
    </row>
    <row r="7784">
      <c r="A7784" s="1"/>
    </row>
    <row r="7785">
      <c r="A7785" s="1"/>
    </row>
    <row r="7786">
      <c r="A7786" s="1"/>
    </row>
    <row r="7787">
      <c r="A7787" s="1"/>
    </row>
    <row r="7788">
      <c r="A7788" s="1"/>
    </row>
    <row r="7789">
      <c r="A7789" s="1"/>
    </row>
    <row r="7790">
      <c r="A7790" s="1"/>
    </row>
    <row r="7791">
      <c r="A7791" s="1"/>
    </row>
    <row r="7792">
      <c r="A7792" s="1"/>
    </row>
    <row r="7793">
      <c r="A7793" s="1"/>
    </row>
    <row r="7794">
      <c r="A7794" s="1"/>
    </row>
    <row r="7795">
      <c r="A7795" s="1"/>
    </row>
    <row r="7796">
      <c r="A7796" s="1"/>
    </row>
    <row r="7797">
      <c r="A7797" s="1"/>
    </row>
    <row r="7798">
      <c r="A7798" s="1"/>
    </row>
    <row r="7799">
      <c r="A7799" s="1"/>
    </row>
    <row r="7800">
      <c r="A7800" s="1"/>
    </row>
    <row r="7801">
      <c r="A7801" s="1"/>
    </row>
    <row r="7802">
      <c r="A7802" s="1"/>
    </row>
    <row r="7803">
      <c r="A7803" s="1"/>
    </row>
    <row r="7804">
      <c r="A7804" s="1"/>
    </row>
    <row r="7805">
      <c r="A7805" s="1"/>
    </row>
    <row r="7806">
      <c r="A7806" s="1"/>
    </row>
    <row r="7807">
      <c r="A7807" s="1"/>
    </row>
    <row r="7808">
      <c r="A7808" s="1"/>
    </row>
    <row r="7809">
      <c r="A7809" s="1"/>
    </row>
    <row r="7810">
      <c r="A7810" s="1"/>
    </row>
    <row r="7811">
      <c r="A7811" s="1"/>
    </row>
    <row r="7812">
      <c r="A7812" s="1"/>
    </row>
    <row r="7813">
      <c r="A7813" s="1"/>
    </row>
    <row r="7814">
      <c r="A7814" s="1"/>
    </row>
    <row r="7815">
      <c r="A7815" s="1"/>
    </row>
    <row r="7816">
      <c r="A7816" s="1"/>
    </row>
    <row r="7817">
      <c r="A7817" s="1"/>
    </row>
    <row r="7818">
      <c r="A7818" s="1"/>
    </row>
    <row r="7819">
      <c r="A7819" s="1"/>
    </row>
    <row r="7820">
      <c r="A7820" s="1"/>
    </row>
    <row r="7821">
      <c r="A7821" s="1"/>
    </row>
    <row r="7822">
      <c r="A7822" s="1"/>
    </row>
    <row r="7823">
      <c r="A7823" s="1"/>
    </row>
    <row r="7824">
      <c r="A7824" s="1"/>
    </row>
    <row r="7825">
      <c r="A7825" s="1"/>
    </row>
    <row r="7826">
      <c r="A7826" s="1"/>
    </row>
    <row r="7827">
      <c r="A7827" s="1"/>
    </row>
    <row r="7828">
      <c r="A7828" s="1"/>
    </row>
    <row r="7829">
      <c r="A7829" s="1"/>
    </row>
    <row r="7830">
      <c r="A7830" s="1"/>
    </row>
    <row r="7831">
      <c r="A7831" s="1"/>
    </row>
    <row r="7832">
      <c r="A7832" s="1"/>
    </row>
    <row r="7833">
      <c r="A7833" s="1"/>
    </row>
    <row r="7834">
      <c r="A7834" s="1"/>
    </row>
    <row r="7835">
      <c r="A7835" s="1"/>
    </row>
    <row r="7836">
      <c r="A7836" s="1"/>
    </row>
    <row r="7837">
      <c r="A7837" s="1"/>
    </row>
    <row r="7838">
      <c r="A7838" s="1"/>
    </row>
    <row r="7839">
      <c r="A7839" s="1"/>
    </row>
    <row r="7840">
      <c r="A7840" s="1"/>
    </row>
    <row r="7841">
      <c r="A7841" s="1"/>
    </row>
    <row r="7842">
      <c r="A7842" s="1"/>
    </row>
    <row r="7843">
      <c r="A7843" s="1"/>
    </row>
    <row r="7844">
      <c r="A7844" s="1"/>
    </row>
    <row r="7845">
      <c r="A7845" s="1"/>
    </row>
    <row r="7846">
      <c r="A7846" s="1"/>
    </row>
    <row r="7847">
      <c r="A7847" s="1"/>
    </row>
    <row r="7848">
      <c r="A7848" s="1"/>
    </row>
    <row r="7849">
      <c r="A7849" s="1"/>
    </row>
    <row r="7850">
      <c r="A7850" s="1"/>
    </row>
    <row r="7851">
      <c r="A7851" s="1"/>
    </row>
    <row r="7852">
      <c r="A7852" s="1"/>
    </row>
    <row r="7853">
      <c r="A7853" s="1"/>
    </row>
    <row r="7854">
      <c r="A7854" s="1"/>
    </row>
    <row r="7855">
      <c r="A7855" s="1"/>
    </row>
    <row r="7856">
      <c r="A7856" s="1"/>
    </row>
    <row r="7857">
      <c r="A7857" s="1"/>
    </row>
    <row r="7858">
      <c r="A7858" s="1"/>
    </row>
    <row r="7859">
      <c r="A7859" s="1"/>
    </row>
    <row r="7860">
      <c r="A7860" s="1"/>
    </row>
    <row r="7861">
      <c r="A7861" s="1"/>
    </row>
    <row r="7862">
      <c r="A7862" s="1"/>
    </row>
    <row r="7863">
      <c r="A7863" s="1"/>
    </row>
    <row r="7864">
      <c r="A7864" s="1"/>
    </row>
    <row r="7865">
      <c r="A7865" s="1"/>
    </row>
    <row r="7866">
      <c r="A7866" s="1"/>
    </row>
    <row r="7867">
      <c r="A7867" s="1"/>
    </row>
    <row r="7868">
      <c r="A7868" s="1"/>
    </row>
    <row r="7869">
      <c r="A7869" s="1"/>
    </row>
    <row r="7870">
      <c r="A7870" s="1"/>
    </row>
    <row r="7871">
      <c r="A7871" s="1"/>
    </row>
    <row r="7872">
      <c r="A7872" s="1"/>
    </row>
    <row r="7873">
      <c r="A7873" s="1"/>
    </row>
    <row r="7874">
      <c r="A7874" s="1"/>
    </row>
    <row r="7875">
      <c r="A7875" s="1"/>
    </row>
    <row r="7876">
      <c r="A7876" s="1"/>
    </row>
    <row r="7877">
      <c r="A7877" s="1"/>
    </row>
    <row r="7878">
      <c r="A7878" s="1"/>
    </row>
    <row r="7879">
      <c r="A7879" s="1"/>
    </row>
    <row r="7880">
      <c r="A7880" s="1"/>
    </row>
    <row r="7881">
      <c r="A7881" s="1"/>
    </row>
    <row r="7882">
      <c r="A7882" s="1"/>
    </row>
    <row r="7883">
      <c r="A7883" s="1"/>
    </row>
    <row r="7884">
      <c r="A7884" s="1"/>
    </row>
    <row r="7885">
      <c r="A7885" s="1"/>
    </row>
    <row r="7886">
      <c r="A7886" s="1"/>
    </row>
    <row r="7887">
      <c r="A7887" s="1"/>
    </row>
    <row r="7888">
      <c r="A7888" s="1"/>
    </row>
    <row r="7889">
      <c r="A7889" s="1"/>
    </row>
    <row r="7890">
      <c r="A7890" s="1"/>
    </row>
    <row r="7891">
      <c r="A7891" s="1"/>
    </row>
    <row r="7892">
      <c r="A7892" s="1"/>
    </row>
    <row r="7893">
      <c r="A7893" s="1"/>
    </row>
    <row r="7894">
      <c r="A7894" s="1"/>
    </row>
    <row r="7895">
      <c r="A7895" s="1"/>
    </row>
    <row r="7896">
      <c r="A7896" s="1"/>
    </row>
    <row r="7897">
      <c r="A7897" s="1"/>
    </row>
    <row r="7898">
      <c r="A7898" s="1"/>
    </row>
    <row r="7899">
      <c r="A7899" s="1"/>
    </row>
    <row r="7900">
      <c r="A7900" s="1"/>
    </row>
    <row r="7901">
      <c r="A7901" s="1"/>
    </row>
    <row r="7902">
      <c r="A7902" s="1"/>
    </row>
    <row r="7903">
      <c r="A7903" s="1"/>
    </row>
    <row r="7904">
      <c r="A7904" s="1"/>
    </row>
    <row r="7905">
      <c r="A7905" s="1"/>
    </row>
    <row r="7906">
      <c r="A7906" s="1"/>
    </row>
    <row r="7907">
      <c r="A7907" s="1"/>
    </row>
    <row r="7908">
      <c r="A7908" s="1"/>
    </row>
    <row r="7909">
      <c r="A7909" s="1"/>
    </row>
    <row r="7910">
      <c r="A7910" s="1"/>
    </row>
    <row r="7911">
      <c r="A7911" s="1"/>
    </row>
    <row r="7912">
      <c r="A7912" s="1"/>
    </row>
    <row r="7913">
      <c r="A7913" s="1"/>
    </row>
    <row r="7914">
      <c r="A7914" s="1"/>
    </row>
    <row r="7915">
      <c r="A7915" s="1"/>
    </row>
    <row r="7916">
      <c r="A7916" s="1"/>
    </row>
    <row r="7917">
      <c r="A7917" s="1"/>
    </row>
    <row r="7918">
      <c r="A7918" s="1"/>
    </row>
    <row r="7919">
      <c r="A7919" s="1"/>
    </row>
    <row r="7920">
      <c r="A7920" s="1"/>
    </row>
    <row r="7921">
      <c r="A7921" s="1"/>
    </row>
    <row r="7922">
      <c r="A7922" s="1"/>
    </row>
    <row r="7923">
      <c r="A7923" s="1"/>
    </row>
    <row r="7924">
      <c r="A7924" s="1"/>
    </row>
    <row r="7925">
      <c r="A7925" s="1"/>
    </row>
    <row r="7926">
      <c r="A7926" s="1"/>
    </row>
    <row r="7927">
      <c r="A7927" s="1"/>
    </row>
    <row r="7928">
      <c r="A7928" s="1"/>
    </row>
    <row r="7929">
      <c r="A7929" s="1"/>
    </row>
    <row r="7930">
      <c r="A7930" s="1"/>
    </row>
    <row r="7931">
      <c r="A7931" s="1"/>
    </row>
    <row r="7932">
      <c r="A7932" s="1"/>
    </row>
    <row r="7933">
      <c r="A7933" s="1"/>
    </row>
    <row r="7934">
      <c r="A7934" s="1"/>
    </row>
    <row r="7935">
      <c r="A7935" s="1"/>
    </row>
    <row r="7936">
      <c r="A7936" s="1"/>
    </row>
    <row r="7937">
      <c r="A7937" s="1"/>
    </row>
    <row r="7938">
      <c r="A7938" s="1"/>
    </row>
    <row r="7939">
      <c r="A7939" s="1"/>
    </row>
    <row r="7940">
      <c r="A7940" s="1"/>
    </row>
    <row r="7941">
      <c r="A7941" s="1"/>
    </row>
    <row r="7942">
      <c r="A7942" s="1"/>
    </row>
    <row r="7943">
      <c r="A7943" s="1"/>
    </row>
    <row r="7944">
      <c r="A7944" s="1"/>
    </row>
    <row r="7945">
      <c r="A7945" s="1"/>
    </row>
    <row r="7946">
      <c r="A7946" s="1"/>
    </row>
    <row r="7947">
      <c r="A7947" s="1"/>
    </row>
    <row r="7948">
      <c r="A7948" s="1"/>
    </row>
    <row r="7949">
      <c r="A7949" s="1"/>
    </row>
    <row r="7950">
      <c r="A7950" s="1"/>
    </row>
    <row r="7951">
      <c r="A7951" s="1"/>
    </row>
    <row r="7952">
      <c r="A7952" s="1"/>
    </row>
    <row r="7953">
      <c r="A7953" s="1"/>
    </row>
    <row r="7954">
      <c r="A7954" s="1"/>
    </row>
    <row r="7955">
      <c r="A7955" s="1"/>
    </row>
    <row r="7956">
      <c r="A7956" s="1"/>
    </row>
    <row r="7957">
      <c r="A7957" s="1"/>
    </row>
    <row r="7958">
      <c r="A7958" s="1"/>
    </row>
    <row r="7959">
      <c r="A7959" s="1"/>
    </row>
    <row r="7960">
      <c r="A7960" s="1"/>
    </row>
    <row r="7961">
      <c r="A7961" s="1"/>
    </row>
    <row r="7962">
      <c r="A7962" s="1"/>
    </row>
    <row r="7963">
      <c r="A7963" s="1"/>
    </row>
    <row r="7964">
      <c r="A7964" s="1"/>
    </row>
    <row r="7965">
      <c r="A7965" s="1"/>
    </row>
    <row r="7966">
      <c r="A7966" s="1"/>
    </row>
    <row r="7967">
      <c r="A7967" s="1"/>
    </row>
    <row r="7968">
      <c r="A7968" s="1"/>
    </row>
    <row r="7969">
      <c r="A7969" s="1"/>
    </row>
    <row r="7970">
      <c r="A7970" s="1"/>
    </row>
    <row r="7971">
      <c r="A7971" s="1"/>
    </row>
    <row r="7972">
      <c r="A7972" s="1"/>
    </row>
    <row r="7973">
      <c r="A7973" s="1"/>
    </row>
    <row r="7974">
      <c r="A7974" s="1"/>
    </row>
    <row r="7975">
      <c r="A7975" s="1"/>
    </row>
    <row r="7976">
      <c r="A7976" s="1"/>
    </row>
    <row r="7977">
      <c r="A7977" s="1"/>
    </row>
    <row r="7978">
      <c r="A7978" s="1"/>
    </row>
    <row r="7979">
      <c r="A7979" s="1"/>
    </row>
    <row r="7980">
      <c r="A7980" s="1"/>
    </row>
    <row r="7981">
      <c r="A7981" s="1"/>
    </row>
    <row r="7982">
      <c r="A7982" s="1"/>
    </row>
    <row r="7983">
      <c r="A7983" s="1"/>
    </row>
    <row r="7984">
      <c r="A7984" s="1"/>
    </row>
    <row r="7985">
      <c r="A7985" s="1"/>
    </row>
    <row r="7986">
      <c r="A7986" s="1"/>
    </row>
    <row r="7987">
      <c r="A7987" s="1"/>
    </row>
    <row r="7988">
      <c r="A7988" s="1"/>
    </row>
    <row r="7989">
      <c r="A7989" s="1"/>
    </row>
    <row r="7990">
      <c r="A7990" s="1"/>
    </row>
    <row r="7991">
      <c r="A7991" s="1"/>
    </row>
    <row r="7992">
      <c r="A7992" s="1"/>
    </row>
    <row r="7993">
      <c r="A7993" s="1"/>
    </row>
    <row r="7994">
      <c r="A7994" s="1"/>
    </row>
    <row r="7995">
      <c r="A7995" s="1"/>
    </row>
    <row r="7996">
      <c r="A7996" s="1"/>
    </row>
    <row r="7997">
      <c r="A7997" s="1"/>
    </row>
    <row r="7998">
      <c r="A7998" s="1"/>
    </row>
    <row r="7999">
      <c r="A7999" s="1"/>
    </row>
    <row r="8000">
      <c r="A8000" s="1"/>
    </row>
    <row r="8001">
      <c r="A8001" s="1"/>
    </row>
    <row r="8002">
      <c r="A8002" s="1"/>
    </row>
    <row r="8003">
      <c r="A8003" s="1"/>
    </row>
    <row r="8004">
      <c r="A8004" s="1"/>
    </row>
    <row r="8005">
      <c r="A8005" s="1"/>
    </row>
    <row r="8006">
      <c r="A8006" s="1"/>
    </row>
    <row r="8007">
      <c r="A8007" s="1"/>
    </row>
    <row r="8008">
      <c r="A8008" s="1"/>
    </row>
    <row r="8009">
      <c r="A8009" s="1"/>
    </row>
    <row r="8010">
      <c r="A8010" s="1"/>
    </row>
    <row r="8011">
      <c r="A8011" s="1"/>
    </row>
    <row r="8012">
      <c r="A8012" s="1"/>
    </row>
    <row r="8013">
      <c r="A8013" s="1"/>
    </row>
    <row r="8014">
      <c r="A8014" s="1"/>
    </row>
    <row r="8015">
      <c r="A8015" s="1"/>
    </row>
    <row r="8016">
      <c r="A8016" s="1"/>
    </row>
    <row r="8017">
      <c r="A8017" s="1"/>
    </row>
    <row r="8018">
      <c r="A8018" s="1"/>
    </row>
    <row r="8019">
      <c r="A8019" s="1"/>
    </row>
    <row r="8020">
      <c r="A8020" s="1"/>
    </row>
    <row r="8021">
      <c r="A8021" s="1"/>
    </row>
    <row r="8022">
      <c r="A8022" s="1"/>
    </row>
    <row r="8023">
      <c r="A8023" s="1"/>
    </row>
    <row r="8024">
      <c r="A8024" s="1"/>
    </row>
    <row r="8025">
      <c r="A8025" s="1"/>
    </row>
    <row r="8026">
      <c r="A8026" s="1"/>
    </row>
    <row r="8027">
      <c r="A8027" s="1"/>
    </row>
    <row r="8028">
      <c r="A8028" s="1"/>
    </row>
    <row r="8029">
      <c r="A8029" s="1"/>
    </row>
    <row r="8030">
      <c r="A8030" s="1"/>
    </row>
    <row r="8031">
      <c r="A8031" s="1"/>
    </row>
    <row r="8032">
      <c r="A8032" s="1"/>
    </row>
    <row r="8033">
      <c r="A8033" s="1"/>
    </row>
    <row r="8034">
      <c r="A8034" s="1"/>
    </row>
    <row r="8035">
      <c r="A8035" s="1"/>
    </row>
    <row r="8036">
      <c r="A8036" s="1"/>
    </row>
    <row r="8037">
      <c r="A8037" s="1"/>
    </row>
    <row r="8038">
      <c r="A8038" s="1"/>
    </row>
    <row r="8039">
      <c r="A8039" s="1"/>
    </row>
    <row r="8040">
      <c r="A8040" s="1"/>
    </row>
    <row r="8041">
      <c r="A8041" s="1"/>
    </row>
    <row r="8042">
      <c r="A8042" s="1"/>
    </row>
    <row r="8043">
      <c r="A8043" s="1"/>
    </row>
    <row r="8044">
      <c r="A8044" s="1"/>
    </row>
    <row r="8045">
      <c r="A8045" s="1"/>
    </row>
    <row r="8046">
      <c r="A8046" s="1"/>
    </row>
    <row r="8047">
      <c r="A8047" s="1"/>
    </row>
    <row r="8048">
      <c r="A8048" s="1"/>
    </row>
    <row r="8049">
      <c r="A8049" s="1"/>
    </row>
    <row r="8050">
      <c r="A8050" s="1"/>
    </row>
    <row r="8051">
      <c r="A8051" s="1"/>
    </row>
    <row r="8052">
      <c r="A8052" s="1"/>
    </row>
    <row r="8053">
      <c r="A8053" s="1"/>
    </row>
    <row r="8054">
      <c r="A8054" s="1"/>
    </row>
    <row r="8055">
      <c r="A8055" s="1"/>
    </row>
    <row r="8056">
      <c r="A8056" s="1"/>
    </row>
    <row r="8057">
      <c r="A8057" s="1"/>
    </row>
    <row r="8058">
      <c r="A8058" s="1"/>
    </row>
    <row r="8059">
      <c r="A8059" s="1"/>
    </row>
    <row r="8060">
      <c r="A8060" s="1"/>
    </row>
    <row r="8061">
      <c r="A8061" s="1"/>
    </row>
    <row r="8062">
      <c r="A8062" s="1"/>
    </row>
    <row r="8063">
      <c r="A8063" s="1"/>
    </row>
    <row r="8064">
      <c r="A8064" s="1"/>
    </row>
    <row r="8065">
      <c r="A8065" s="1"/>
    </row>
    <row r="8066">
      <c r="A8066" s="1"/>
    </row>
  </sheetData>
  <conditionalFormatting sqref="A1:A8664">
    <cfRule type="expression" dxfId="0" priority="1">
      <formula>countif(A:A,A1)&gt;1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IFERROR(__xludf.DUMMYFUNCTION("filter('NYSE (raw)'!A:A,REGEXMATCH('NYSE (raw)'!A:A,""[\^/^.]"")=false, ISERROR(MATCH('NYSE (raw)'!A:A,Invalid!A:A,0)))"),"A")</f>
        <v>A</v>
      </c>
    </row>
    <row r="2">
      <c r="A2" s="1" t="str">
        <f>IFERROR(__xludf.DUMMYFUNCTION("""COMPUTED_VALUE"""),"AA")</f>
        <v>AA</v>
      </c>
    </row>
    <row r="3">
      <c r="A3" s="1" t="str">
        <f>IFERROR(__xludf.DUMMYFUNCTION("""COMPUTED_VALUE"""),"AAC")</f>
        <v>AAC</v>
      </c>
    </row>
    <row r="4">
      <c r="A4" s="1" t="str">
        <f>IFERROR(__xludf.DUMMYFUNCTION("""COMPUTED_VALUE"""),"AAIC")</f>
        <v>AAIC</v>
      </c>
    </row>
    <row r="5">
      <c r="A5" s="1" t="str">
        <f>IFERROR(__xludf.DUMMYFUNCTION("""COMPUTED_VALUE"""),"AAIN")</f>
        <v>AAIN</v>
      </c>
    </row>
    <row r="6">
      <c r="A6" s="1" t="str">
        <f>IFERROR(__xludf.DUMMYFUNCTION("""COMPUTED_VALUE"""),"AAN")</f>
        <v>AAN</v>
      </c>
    </row>
    <row r="7">
      <c r="A7" s="1" t="str">
        <f>IFERROR(__xludf.DUMMYFUNCTION("""COMPUTED_VALUE"""),"AAP")</f>
        <v>AAP</v>
      </c>
    </row>
    <row r="8">
      <c r="A8" s="1" t="str">
        <f>IFERROR(__xludf.DUMMYFUNCTION("""COMPUTED_VALUE"""),"AAQC")</f>
        <v>AAQC</v>
      </c>
    </row>
    <row r="9">
      <c r="A9" s="1" t="str">
        <f>IFERROR(__xludf.DUMMYFUNCTION("""COMPUTED_VALUE"""),"AAT")</f>
        <v>AAT</v>
      </c>
    </row>
    <row r="10">
      <c r="A10" s="1" t="str">
        <f>IFERROR(__xludf.DUMMYFUNCTION("""COMPUTED_VALUE"""),"AB")</f>
        <v>AB</v>
      </c>
    </row>
    <row r="11">
      <c r="A11" s="1" t="str">
        <f>IFERROR(__xludf.DUMMYFUNCTION("""COMPUTED_VALUE"""),"ABB")</f>
        <v>ABB</v>
      </c>
    </row>
    <row r="12">
      <c r="A12" s="1" t="str">
        <f>IFERROR(__xludf.DUMMYFUNCTION("""COMPUTED_VALUE"""),"ABBV")</f>
        <v>ABBV</v>
      </c>
    </row>
    <row r="13">
      <c r="A13" s="1" t="str">
        <f>IFERROR(__xludf.DUMMYFUNCTION("""COMPUTED_VALUE"""),"ABC")</f>
        <v>ABC</v>
      </c>
    </row>
    <row r="14">
      <c r="A14" s="1" t="str">
        <f>IFERROR(__xludf.DUMMYFUNCTION("""COMPUTED_VALUE"""),"ABEV")</f>
        <v>ABEV</v>
      </c>
    </row>
    <row r="15">
      <c r="A15" s="1" t="str">
        <f>IFERROR(__xludf.DUMMYFUNCTION("""COMPUTED_VALUE"""),"ABG")</f>
        <v>ABG</v>
      </c>
    </row>
    <row r="16">
      <c r="A16" s="1" t="str">
        <f>IFERROR(__xludf.DUMMYFUNCTION("""COMPUTED_VALUE"""),"ABM")</f>
        <v>ABM</v>
      </c>
    </row>
    <row r="17">
      <c r="A17" s="1" t="str">
        <f>IFERROR(__xludf.DUMMYFUNCTION("""COMPUTED_VALUE"""),"ABR")</f>
        <v>ABR</v>
      </c>
    </row>
    <row r="18">
      <c r="A18" s="1" t="str">
        <f>IFERROR(__xludf.DUMMYFUNCTION("""COMPUTED_VALUE"""),"ABT")</f>
        <v>ABT</v>
      </c>
    </row>
    <row r="19">
      <c r="A19" s="1" t="str">
        <f>IFERROR(__xludf.DUMMYFUNCTION("""COMPUTED_VALUE"""),"AC")</f>
        <v>AC</v>
      </c>
    </row>
    <row r="20">
      <c r="A20" s="1" t="str">
        <f>IFERROR(__xludf.DUMMYFUNCTION("""COMPUTED_VALUE"""),"ACA")</f>
        <v>ACA</v>
      </c>
    </row>
    <row r="21">
      <c r="A21" s="1" t="str">
        <f>IFERROR(__xludf.DUMMYFUNCTION("""COMPUTED_VALUE"""),"ACC")</f>
        <v>ACC</v>
      </c>
    </row>
    <row r="22">
      <c r="A22" s="1" t="str">
        <f>IFERROR(__xludf.DUMMYFUNCTION("""COMPUTED_VALUE"""),"ACCO")</f>
        <v>ACCO</v>
      </c>
    </row>
    <row r="23">
      <c r="A23" s="1" t="str">
        <f>IFERROR(__xludf.DUMMYFUNCTION("""COMPUTED_VALUE"""),"ACEL")</f>
        <v>ACEL</v>
      </c>
    </row>
    <row r="24">
      <c r="A24" s="1" t="str">
        <f>IFERROR(__xludf.DUMMYFUNCTION("""COMPUTED_VALUE"""),"ACH")</f>
        <v>ACH</v>
      </c>
    </row>
    <row r="25">
      <c r="A25" s="1" t="str">
        <f>IFERROR(__xludf.DUMMYFUNCTION("""COMPUTED_VALUE"""),"ACI")</f>
        <v>ACI</v>
      </c>
    </row>
    <row r="26">
      <c r="A26" s="1" t="str">
        <f>IFERROR(__xludf.DUMMYFUNCTION("""COMPUTED_VALUE"""),"ACIC")</f>
        <v>ACIC</v>
      </c>
    </row>
    <row r="27">
      <c r="A27" s="1" t="str">
        <f>IFERROR(__xludf.DUMMYFUNCTION("""COMPUTED_VALUE"""),"ACII")</f>
        <v>ACII</v>
      </c>
    </row>
    <row r="28">
      <c r="A28" s="1" t="str">
        <f>IFERROR(__xludf.DUMMYFUNCTION("""COMPUTED_VALUE"""),"ACM")</f>
        <v>ACM</v>
      </c>
    </row>
    <row r="29">
      <c r="A29" s="1" t="str">
        <f>IFERROR(__xludf.DUMMYFUNCTION("""COMPUTED_VALUE"""),"ACN")</f>
        <v>ACN</v>
      </c>
    </row>
    <row r="30">
      <c r="A30" s="1" t="str">
        <f>IFERROR(__xludf.DUMMYFUNCTION("""COMPUTED_VALUE"""),"ACP")</f>
        <v>ACP</v>
      </c>
    </row>
    <row r="31">
      <c r="A31" s="1" t="str">
        <f>IFERROR(__xludf.DUMMYFUNCTION("""COMPUTED_VALUE"""),"ACR")</f>
        <v>ACR</v>
      </c>
    </row>
    <row r="32">
      <c r="A32" s="1" t="str">
        <f>IFERROR(__xludf.DUMMYFUNCTION("""COMPUTED_VALUE"""),"ACRE")</f>
        <v>ACRE</v>
      </c>
    </row>
    <row r="33">
      <c r="A33" s="1" t="str">
        <f>IFERROR(__xludf.DUMMYFUNCTION("""COMPUTED_VALUE"""),"ACV")</f>
        <v>ACV</v>
      </c>
    </row>
    <row r="34">
      <c r="A34" s="1" t="str">
        <f>IFERROR(__xludf.DUMMYFUNCTION("""COMPUTED_VALUE"""),"ADC")</f>
        <v>ADC</v>
      </c>
    </row>
    <row r="35">
      <c r="A35" s="1" t="str">
        <f>IFERROR(__xludf.DUMMYFUNCTION("""COMPUTED_VALUE"""),"ADCT")</f>
        <v>ADCT</v>
      </c>
    </row>
    <row r="36">
      <c r="A36" s="1" t="str">
        <f>IFERROR(__xludf.DUMMYFUNCTION("""COMPUTED_VALUE"""),"ADEX")</f>
        <v>ADEX</v>
      </c>
    </row>
    <row r="37">
      <c r="A37" s="1" t="str">
        <f>IFERROR(__xludf.DUMMYFUNCTION("""COMPUTED_VALUE"""),"ADF")</f>
        <v>ADF</v>
      </c>
    </row>
    <row r="38">
      <c r="A38" s="1" t="str">
        <f>IFERROR(__xludf.DUMMYFUNCTION("""COMPUTED_VALUE"""),"ADM")</f>
        <v>ADM</v>
      </c>
    </row>
    <row r="39">
      <c r="A39" s="1" t="str">
        <f>IFERROR(__xludf.DUMMYFUNCTION("""COMPUTED_VALUE"""),"ADNT")</f>
        <v>ADNT</v>
      </c>
    </row>
    <row r="40">
      <c r="A40" s="1" t="str">
        <f>IFERROR(__xludf.DUMMYFUNCTION("""COMPUTED_VALUE"""),"ADS")</f>
        <v>ADS</v>
      </c>
    </row>
    <row r="41">
      <c r="A41" s="1" t="str">
        <f>IFERROR(__xludf.DUMMYFUNCTION("""COMPUTED_VALUE"""),"ADT")</f>
        <v>ADT</v>
      </c>
    </row>
    <row r="42">
      <c r="A42" s="1" t="str">
        <f>IFERROR(__xludf.DUMMYFUNCTION("""COMPUTED_VALUE"""),"ADX")</f>
        <v>ADX</v>
      </c>
    </row>
    <row r="43">
      <c r="A43" s="1" t="str">
        <f>IFERROR(__xludf.DUMMYFUNCTION("""COMPUTED_VALUE"""),"AEB")</f>
        <v>AEB</v>
      </c>
    </row>
    <row r="44">
      <c r="A44" s="1" t="str">
        <f>IFERROR(__xludf.DUMMYFUNCTION("""COMPUTED_VALUE"""),"AEE")</f>
        <v>AEE</v>
      </c>
    </row>
    <row r="45">
      <c r="A45" s="1" t="str">
        <f>IFERROR(__xludf.DUMMYFUNCTION("""COMPUTED_VALUE"""),"AEFC")</f>
        <v>AEFC</v>
      </c>
    </row>
    <row r="46">
      <c r="A46" s="1" t="str">
        <f>IFERROR(__xludf.DUMMYFUNCTION("""COMPUTED_VALUE"""),"AEG")</f>
        <v>AEG</v>
      </c>
    </row>
    <row r="47">
      <c r="A47" s="1" t="str">
        <f>IFERROR(__xludf.DUMMYFUNCTION("""COMPUTED_VALUE"""),"AEL")</f>
        <v>AEL</v>
      </c>
    </row>
    <row r="48">
      <c r="A48" s="1" t="str">
        <f>IFERROR(__xludf.DUMMYFUNCTION("""COMPUTED_VALUE"""),"AEM")</f>
        <v>AEM</v>
      </c>
    </row>
    <row r="49">
      <c r="A49" s="1" t="str">
        <f>IFERROR(__xludf.DUMMYFUNCTION("""COMPUTED_VALUE"""),"AENZ")</f>
        <v>AENZ</v>
      </c>
    </row>
    <row r="50">
      <c r="A50" s="1" t="str">
        <f>IFERROR(__xludf.DUMMYFUNCTION("""COMPUTED_VALUE"""),"AEO")</f>
        <v>AEO</v>
      </c>
    </row>
    <row r="51">
      <c r="A51" s="1" t="str">
        <f>IFERROR(__xludf.DUMMYFUNCTION("""COMPUTED_VALUE"""),"AER")</f>
        <v>AER</v>
      </c>
    </row>
    <row r="52">
      <c r="A52" s="1" t="str">
        <f>IFERROR(__xludf.DUMMYFUNCTION("""COMPUTED_VALUE"""),"AES")</f>
        <v>AES</v>
      </c>
    </row>
    <row r="53">
      <c r="A53" s="1" t="str">
        <f>IFERROR(__xludf.DUMMYFUNCTION("""COMPUTED_VALUE"""),"AESC")</f>
        <v>AESC</v>
      </c>
    </row>
    <row r="54">
      <c r="A54" s="1" t="str">
        <f>IFERROR(__xludf.DUMMYFUNCTION("""COMPUTED_VALUE"""),"AEVA")</f>
        <v>AEVA</v>
      </c>
    </row>
    <row r="55">
      <c r="A55" s="1" t="str">
        <f>IFERROR(__xludf.DUMMYFUNCTION("""COMPUTED_VALUE"""),"AFB")</f>
        <v>AFB</v>
      </c>
    </row>
    <row r="56">
      <c r="A56" s="1" t="str">
        <f>IFERROR(__xludf.DUMMYFUNCTION("""COMPUTED_VALUE"""),"AFG")</f>
        <v>AFG</v>
      </c>
    </row>
    <row r="57">
      <c r="A57" s="1" t="str">
        <f>IFERROR(__xludf.DUMMYFUNCTION("""COMPUTED_VALUE"""),"AFGB")</f>
        <v>AFGB</v>
      </c>
    </row>
    <row r="58">
      <c r="A58" s="1" t="str">
        <f>IFERROR(__xludf.DUMMYFUNCTION("""COMPUTED_VALUE"""),"AFGC")</f>
        <v>AFGC</v>
      </c>
    </row>
    <row r="59">
      <c r="A59" s="1" t="str">
        <f>IFERROR(__xludf.DUMMYFUNCTION("""COMPUTED_VALUE"""),"AFGD")</f>
        <v>AFGD</v>
      </c>
    </row>
    <row r="60">
      <c r="A60" s="1" t="str">
        <f>IFERROR(__xludf.DUMMYFUNCTION("""COMPUTED_VALUE"""),"AFGE")</f>
        <v>AFGE</v>
      </c>
    </row>
    <row r="61">
      <c r="A61" s="1" t="str">
        <f>IFERROR(__xludf.DUMMYFUNCTION("""COMPUTED_VALUE"""),"AFI")</f>
        <v>AFI</v>
      </c>
    </row>
    <row r="62">
      <c r="A62" s="1" t="str">
        <f>IFERROR(__xludf.DUMMYFUNCTION("""COMPUTED_VALUE"""),"AFL")</f>
        <v>AFL</v>
      </c>
    </row>
    <row r="63">
      <c r="A63" s="1" t="str">
        <f>IFERROR(__xludf.DUMMYFUNCTION("""COMPUTED_VALUE"""),"AFT")</f>
        <v>AFT</v>
      </c>
    </row>
    <row r="64">
      <c r="A64" s="1" t="str">
        <f>IFERROR(__xludf.DUMMYFUNCTION("""COMPUTED_VALUE"""),"AG")</f>
        <v>AG</v>
      </c>
    </row>
    <row r="65">
      <c r="A65" s="1" t="str">
        <f>IFERROR(__xludf.DUMMYFUNCTION("""COMPUTED_VALUE"""),"AGAC")</f>
        <v>AGAC</v>
      </c>
    </row>
    <row r="66">
      <c r="A66" s="1" t="str">
        <f>IFERROR(__xludf.DUMMYFUNCTION("""COMPUTED_VALUE"""),"AGCB")</f>
        <v>AGCB</v>
      </c>
    </row>
    <row r="67">
      <c r="A67" s="1" t="str">
        <f>IFERROR(__xludf.DUMMYFUNCTION("""COMPUTED_VALUE"""),"AGCO")</f>
        <v>AGCO</v>
      </c>
    </row>
    <row r="68">
      <c r="A68" s="1" t="str">
        <f>IFERROR(__xludf.DUMMYFUNCTION("""COMPUTED_VALUE"""),"AGD")</f>
        <v>AGD</v>
      </c>
    </row>
    <row r="69">
      <c r="A69" s="1" t="str">
        <f>IFERROR(__xludf.DUMMYFUNCTION("""COMPUTED_VALUE"""),"AGI")</f>
        <v>AGI</v>
      </c>
    </row>
    <row r="70">
      <c r="A70" s="1" t="str">
        <f>IFERROR(__xludf.DUMMYFUNCTION("""COMPUTED_VALUE"""),"AGL")</f>
        <v>AGL</v>
      </c>
    </row>
    <row r="71">
      <c r="A71" s="1" t="str">
        <f>IFERROR(__xludf.DUMMYFUNCTION("""COMPUTED_VALUE"""),"AGM")</f>
        <v>AGM</v>
      </c>
    </row>
    <row r="72">
      <c r="A72" s="1" t="str">
        <f>IFERROR(__xludf.DUMMYFUNCTION("""COMPUTED_VALUE"""),"AGO")</f>
        <v>AGO</v>
      </c>
    </row>
    <row r="73">
      <c r="A73" s="1" t="str">
        <f>IFERROR(__xludf.DUMMYFUNCTION("""COMPUTED_VALUE"""),"AGR")</f>
        <v>AGR</v>
      </c>
    </row>
    <row r="74">
      <c r="A74" s="1" t="str">
        <f>IFERROR(__xludf.DUMMYFUNCTION("""COMPUTED_VALUE"""),"AGRO")</f>
        <v>AGRO</v>
      </c>
    </row>
    <row r="75">
      <c r="A75" s="1" t="str">
        <f>IFERROR(__xludf.DUMMYFUNCTION("""COMPUTED_VALUE"""),"AGS")</f>
        <v>AGS</v>
      </c>
    </row>
    <row r="76">
      <c r="A76" s="1" t="str">
        <f>IFERROR(__xludf.DUMMYFUNCTION("""COMPUTED_VALUE"""),"AGTI")</f>
        <v>AGTI</v>
      </c>
    </row>
    <row r="77">
      <c r="A77" s="1" t="str">
        <f>IFERROR(__xludf.DUMMYFUNCTION("""COMPUTED_VALUE"""),"AGX")</f>
        <v>AGX</v>
      </c>
    </row>
    <row r="78">
      <c r="A78" s="1" t="str">
        <f>IFERROR(__xludf.DUMMYFUNCTION("""COMPUTED_VALUE"""),"AHH")</f>
        <v>AHH</v>
      </c>
    </row>
    <row r="79">
      <c r="A79" s="1" t="str">
        <f>IFERROR(__xludf.DUMMYFUNCTION("""COMPUTED_VALUE"""),"AHT")</f>
        <v>AHT</v>
      </c>
    </row>
    <row r="80">
      <c r="A80" s="1" t="str">
        <f>IFERROR(__xludf.DUMMYFUNCTION("""COMPUTED_VALUE"""),"AI")</f>
        <v>AI</v>
      </c>
    </row>
    <row r="81">
      <c r="A81" s="1" t="str">
        <f>IFERROR(__xludf.DUMMYFUNCTION("""COMPUTED_VALUE"""),"AIC")</f>
        <v>AIC</v>
      </c>
    </row>
    <row r="82">
      <c r="A82" s="1" t="str">
        <f>IFERROR(__xludf.DUMMYFUNCTION("""COMPUTED_VALUE"""),"AIF")</f>
        <v>AIF</v>
      </c>
    </row>
    <row r="83">
      <c r="A83" s="1" t="str">
        <f>IFERROR(__xludf.DUMMYFUNCTION("""COMPUTED_VALUE"""),"AIG")</f>
        <v>AIG</v>
      </c>
    </row>
    <row r="84">
      <c r="A84" s="1" t="str">
        <f>IFERROR(__xludf.DUMMYFUNCTION("""COMPUTED_VALUE"""),"AIN")</f>
        <v>AIN</v>
      </c>
    </row>
    <row r="85">
      <c r="A85" s="1" t="str">
        <f>IFERROR(__xludf.DUMMYFUNCTION("""COMPUTED_VALUE"""),"AIO")</f>
        <v>AIO</v>
      </c>
    </row>
    <row r="86">
      <c r="A86" s="1" t="str">
        <f>IFERROR(__xludf.DUMMYFUNCTION("""COMPUTED_VALUE"""),"AIR")</f>
        <v>AIR</v>
      </c>
    </row>
    <row r="87">
      <c r="A87" s="1" t="str">
        <f>IFERROR(__xludf.DUMMYFUNCTION("""COMPUTED_VALUE"""),"AIRC")</f>
        <v>AIRC</v>
      </c>
    </row>
    <row r="88">
      <c r="A88" s="1" t="str">
        <f>IFERROR(__xludf.DUMMYFUNCTION("""COMPUTED_VALUE"""),"AIT")</f>
        <v>AIT</v>
      </c>
    </row>
    <row r="89">
      <c r="A89" s="1" t="str">
        <f>IFERROR(__xludf.DUMMYFUNCTION("""COMPUTED_VALUE"""),"AIV")</f>
        <v>AIV</v>
      </c>
    </row>
    <row r="90">
      <c r="A90" s="1" t="str">
        <f>IFERROR(__xludf.DUMMYFUNCTION("""COMPUTED_VALUE"""),"AIZ")</f>
        <v>AIZ</v>
      </c>
    </row>
    <row r="91">
      <c r="A91" s="1" t="str">
        <f>IFERROR(__xludf.DUMMYFUNCTION("""COMPUTED_VALUE"""),"AIZN")</f>
        <v>AIZN</v>
      </c>
    </row>
    <row r="92">
      <c r="A92" s="1" t="str">
        <f>IFERROR(__xludf.DUMMYFUNCTION("""COMPUTED_VALUE"""),"AJAX")</f>
        <v>AJAX</v>
      </c>
    </row>
    <row r="93">
      <c r="A93" s="1" t="str">
        <f>IFERROR(__xludf.DUMMYFUNCTION("""COMPUTED_VALUE"""),"AJG")</f>
        <v>AJG</v>
      </c>
    </row>
    <row r="94">
      <c r="A94" s="1" t="str">
        <f>IFERROR(__xludf.DUMMYFUNCTION("""COMPUTED_VALUE"""),"AJRD")</f>
        <v>AJRD</v>
      </c>
    </row>
    <row r="95">
      <c r="A95" s="1" t="str">
        <f>IFERROR(__xludf.DUMMYFUNCTION("""COMPUTED_VALUE"""),"AJX")</f>
        <v>AJX</v>
      </c>
    </row>
    <row r="96">
      <c r="A96" s="1" t="str">
        <f>IFERROR(__xludf.DUMMYFUNCTION("""COMPUTED_VALUE"""),"AJXA")</f>
        <v>AJXA</v>
      </c>
    </row>
    <row r="97">
      <c r="A97" s="1" t="str">
        <f>IFERROR(__xludf.DUMMYFUNCTION("""COMPUTED_VALUE"""),"AKR")</f>
        <v>AKR</v>
      </c>
    </row>
    <row r="98">
      <c r="A98" s="1" t="str">
        <f>IFERROR(__xludf.DUMMYFUNCTION("""COMPUTED_VALUE"""),"AL")</f>
        <v>AL</v>
      </c>
    </row>
    <row r="99">
      <c r="A99" s="1" t="str">
        <f>IFERROR(__xludf.DUMMYFUNCTION("""COMPUTED_VALUE"""),"ALB")</f>
        <v>ALB</v>
      </c>
    </row>
    <row r="100">
      <c r="A100" s="1" t="str">
        <f>IFERROR(__xludf.DUMMYFUNCTION("""COMPUTED_VALUE"""),"ALC")</f>
        <v>ALC</v>
      </c>
    </row>
    <row r="101">
      <c r="A101" s="1" t="str">
        <f>IFERROR(__xludf.DUMMYFUNCTION("""COMPUTED_VALUE"""),"ALCC")</f>
        <v>ALCC</v>
      </c>
    </row>
    <row r="102">
      <c r="A102" s="1" t="str">
        <f>IFERROR(__xludf.DUMMYFUNCTION("""COMPUTED_VALUE"""),"ALE")</f>
        <v>ALE</v>
      </c>
    </row>
    <row r="103">
      <c r="A103" s="1" t="str">
        <f>IFERROR(__xludf.DUMMYFUNCTION("""COMPUTED_VALUE"""),"ALEX")</f>
        <v>ALEX</v>
      </c>
    </row>
    <row r="104">
      <c r="A104" s="1" t="str">
        <f>IFERROR(__xludf.DUMMYFUNCTION("""COMPUTED_VALUE"""),"ALG")</f>
        <v>ALG</v>
      </c>
    </row>
    <row r="105">
      <c r="A105" s="1" t="str">
        <f>IFERROR(__xludf.DUMMYFUNCTION("""COMPUTED_VALUE"""),"ALIT")</f>
        <v>ALIT</v>
      </c>
    </row>
    <row r="106">
      <c r="A106" s="1" t="str">
        <f>IFERROR(__xludf.DUMMYFUNCTION("""COMPUTED_VALUE"""),"ALK")</f>
        <v>ALK</v>
      </c>
    </row>
    <row r="107">
      <c r="A107" s="1" t="str">
        <f>IFERROR(__xludf.DUMMYFUNCTION("""COMPUTED_VALUE"""),"ALL")</f>
        <v>ALL</v>
      </c>
    </row>
    <row r="108">
      <c r="A108" s="1" t="str">
        <f>IFERROR(__xludf.DUMMYFUNCTION("""COMPUTED_VALUE"""),"ALLE")</f>
        <v>ALLE</v>
      </c>
    </row>
    <row r="109">
      <c r="A109" s="1" t="str">
        <f>IFERROR(__xludf.DUMMYFUNCTION("""COMPUTED_VALUE"""),"ALLY")</f>
        <v>ALLY</v>
      </c>
    </row>
    <row r="110">
      <c r="A110" s="1" t="str">
        <f>IFERROR(__xludf.DUMMYFUNCTION("""COMPUTED_VALUE"""),"ALSN")</f>
        <v>ALSN</v>
      </c>
    </row>
    <row r="111">
      <c r="A111" s="1" t="str">
        <f>IFERROR(__xludf.DUMMYFUNCTION("""COMPUTED_VALUE"""),"ALTG")</f>
        <v>ALTG</v>
      </c>
    </row>
    <row r="112">
      <c r="A112" s="1" t="str">
        <f>IFERROR(__xludf.DUMMYFUNCTION("""COMPUTED_VALUE"""),"ALV")</f>
        <v>ALV</v>
      </c>
    </row>
    <row r="113">
      <c r="A113" s="1" t="str">
        <f>IFERROR(__xludf.DUMMYFUNCTION("""COMPUTED_VALUE"""),"ALX")</f>
        <v>ALX</v>
      </c>
    </row>
    <row r="114">
      <c r="A114" s="1" t="str">
        <f>IFERROR(__xludf.DUMMYFUNCTION("""COMPUTED_VALUE"""),"AM")</f>
        <v>AM</v>
      </c>
    </row>
    <row r="115">
      <c r="A115" s="1" t="str">
        <f>IFERROR(__xludf.DUMMYFUNCTION("""COMPUTED_VALUE"""),"AMAM")</f>
        <v>AMAM</v>
      </c>
    </row>
    <row r="116">
      <c r="A116" s="1" t="str">
        <f>IFERROR(__xludf.DUMMYFUNCTION("""COMPUTED_VALUE"""),"AMBC")</f>
        <v>AMBC</v>
      </c>
    </row>
    <row r="117">
      <c r="A117" s="1" t="str">
        <f>IFERROR(__xludf.DUMMYFUNCTION("""COMPUTED_VALUE"""),"AMBP")</f>
        <v>AMBP</v>
      </c>
    </row>
    <row r="118">
      <c r="A118" s="1" t="str">
        <f>IFERROR(__xludf.DUMMYFUNCTION("""COMPUTED_VALUE"""),"AMC")</f>
        <v>AMC</v>
      </c>
    </row>
    <row r="119">
      <c r="A119" s="1" t="str">
        <f>IFERROR(__xludf.DUMMYFUNCTION("""COMPUTED_VALUE"""),"AMCR")</f>
        <v>AMCR</v>
      </c>
    </row>
    <row r="120">
      <c r="A120" s="1" t="str">
        <f>IFERROR(__xludf.DUMMYFUNCTION("""COMPUTED_VALUE"""),"AME")</f>
        <v>AME</v>
      </c>
    </row>
    <row r="121">
      <c r="A121" s="1" t="str">
        <f>IFERROR(__xludf.DUMMYFUNCTION("""COMPUTED_VALUE"""),"AMG")</f>
        <v>AMG</v>
      </c>
    </row>
    <row r="122">
      <c r="A122" s="1" t="str">
        <f>IFERROR(__xludf.DUMMYFUNCTION("""COMPUTED_VALUE"""),"AMH")</f>
        <v>AMH</v>
      </c>
    </row>
    <row r="123">
      <c r="A123" s="1" t="str">
        <f>IFERROR(__xludf.DUMMYFUNCTION("""COMPUTED_VALUE"""),"AMK")</f>
        <v>AMK</v>
      </c>
    </row>
    <row r="124">
      <c r="A124" s="1" t="str">
        <f>IFERROR(__xludf.DUMMYFUNCTION("""COMPUTED_VALUE"""),"AMN")</f>
        <v>AMN</v>
      </c>
    </row>
    <row r="125">
      <c r="A125" s="1" t="str">
        <f>IFERROR(__xludf.DUMMYFUNCTION("""COMPUTED_VALUE"""),"AMOV")</f>
        <v>AMOV</v>
      </c>
    </row>
    <row r="126">
      <c r="A126" s="1" t="str">
        <f>IFERROR(__xludf.DUMMYFUNCTION("""COMPUTED_VALUE"""),"AMP")</f>
        <v>AMP</v>
      </c>
    </row>
    <row r="127">
      <c r="A127" s="1" t="str">
        <f>IFERROR(__xludf.DUMMYFUNCTION("""COMPUTED_VALUE"""),"AMPI")</f>
        <v>AMPI</v>
      </c>
    </row>
    <row r="128">
      <c r="A128" s="1" t="str">
        <f>IFERROR(__xludf.DUMMYFUNCTION("""COMPUTED_VALUE"""),"AMPY")</f>
        <v>AMPY</v>
      </c>
    </row>
    <row r="129">
      <c r="A129" s="1" t="str">
        <f>IFERROR(__xludf.DUMMYFUNCTION("""COMPUTED_VALUE"""),"AMR")</f>
        <v>AMR</v>
      </c>
    </row>
    <row r="130">
      <c r="A130" s="1" t="str">
        <f>IFERROR(__xludf.DUMMYFUNCTION("""COMPUTED_VALUE"""),"AMRC")</f>
        <v>AMRC</v>
      </c>
    </row>
    <row r="131">
      <c r="A131" s="1" t="str">
        <f>IFERROR(__xludf.DUMMYFUNCTION("""COMPUTED_VALUE"""),"AMRX")</f>
        <v>AMRX</v>
      </c>
    </row>
    <row r="132">
      <c r="A132" s="1" t="str">
        <f>IFERROR(__xludf.DUMMYFUNCTION("""COMPUTED_VALUE"""),"AMT")</f>
        <v>AMT</v>
      </c>
    </row>
    <row r="133">
      <c r="A133" s="1" t="str">
        <f>IFERROR(__xludf.DUMMYFUNCTION("""COMPUTED_VALUE"""),"AMWL")</f>
        <v>AMWL</v>
      </c>
    </row>
    <row r="134">
      <c r="A134" s="1" t="str">
        <f>IFERROR(__xludf.DUMMYFUNCTION("""COMPUTED_VALUE"""),"AMX")</f>
        <v>AMX</v>
      </c>
    </row>
    <row r="135">
      <c r="A135" s="1" t="str">
        <f>IFERROR(__xludf.DUMMYFUNCTION("""COMPUTED_VALUE"""),"AN")</f>
        <v>AN</v>
      </c>
    </row>
    <row r="136">
      <c r="A136" s="1" t="str">
        <f>IFERROR(__xludf.DUMMYFUNCTION("""COMPUTED_VALUE"""),"ANAC")</f>
        <v>ANAC</v>
      </c>
    </row>
    <row r="137">
      <c r="A137" s="1" t="str">
        <f>IFERROR(__xludf.DUMMYFUNCTION("""COMPUTED_VALUE"""),"ANET")</f>
        <v>ANET</v>
      </c>
    </row>
    <row r="138">
      <c r="A138" s="1" t="str">
        <f>IFERROR(__xludf.DUMMYFUNCTION("""COMPUTED_VALUE"""),"ANF")</f>
        <v>ANF</v>
      </c>
    </row>
    <row r="139">
      <c r="A139" s="1" t="str">
        <f>IFERROR(__xludf.DUMMYFUNCTION("""COMPUTED_VALUE"""),"ANTM")</f>
        <v>ANTM</v>
      </c>
    </row>
    <row r="140">
      <c r="A140" s="1" t="str">
        <f>IFERROR(__xludf.DUMMYFUNCTION("""COMPUTED_VALUE"""),"AOD")</f>
        <v>AOD</v>
      </c>
    </row>
    <row r="141">
      <c r="A141" s="1" t="str">
        <f>IFERROR(__xludf.DUMMYFUNCTION("""COMPUTED_VALUE"""),"AOMR")</f>
        <v>AOMR</v>
      </c>
    </row>
    <row r="142">
      <c r="A142" s="1" t="str">
        <f>IFERROR(__xludf.DUMMYFUNCTION("""COMPUTED_VALUE"""),"AON")</f>
        <v>AON</v>
      </c>
    </row>
    <row r="143">
      <c r="A143" s="1" t="str">
        <f>IFERROR(__xludf.DUMMYFUNCTION("""COMPUTED_VALUE"""),"AOS")</f>
        <v>AOS</v>
      </c>
    </row>
    <row r="144">
      <c r="A144" s="1" t="str">
        <f>IFERROR(__xludf.DUMMYFUNCTION("""COMPUTED_VALUE"""),"AP")</f>
        <v>AP</v>
      </c>
    </row>
    <row r="145">
      <c r="A145" s="1" t="str">
        <f>IFERROR(__xludf.DUMMYFUNCTION("""COMPUTED_VALUE"""),"APAM")</f>
        <v>APAM</v>
      </c>
    </row>
    <row r="146">
      <c r="A146" s="1" t="str">
        <f>IFERROR(__xludf.DUMMYFUNCTION("""COMPUTED_VALUE"""),"APD")</f>
        <v>APD</v>
      </c>
    </row>
    <row r="147">
      <c r="A147" s="1" t="str">
        <f>IFERROR(__xludf.DUMMYFUNCTION("""COMPUTED_VALUE"""),"APG")</f>
        <v>APG</v>
      </c>
    </row>
    <row r="148">
      <c r="A148" s="1" t="str">
        <f>IFERROR(__xludf.DUMMYFUNCTION("""COMPUTED_VALUE"""),"APGB")</f>
        <v>APGB</v>
      </c>
    </row>
    <row r="149">
      <c r="A149" s="1" t="str">
        <f>IFERROR(__xludf.DUMMYFUNCTION("""COMPUTED_VALUE"""),"APH")</f>
        <v>APH</v>
      </c>
    </row>
    <row r="150">
      <c r="A150" s="1" t="str">
        <f>IFERROR(__xludf.DUMMYFUNCTION("""COMPUTED_VALUE"""),"APLE")</f>
        <v>APLE</v>
      </c>
    </row>
    <row r="151">
      <c r="A151" s="1" t="str">
        <f>IFERROR(__xludf.DUMMYFUNCTION("""COMPUTED_VALUE"""),"APO")</f>
        <v>APO</v>
      </c>
    </row>
    <row r="152">
      <c r="A152" s="1" t="str">
        <f>IFERROR(__xludf.DUMMYFUNCTION("""COMPUTED_VALUE"""),"APRN")</f>
        <v>APRN</v>
      </c>
    </row>
    <row r="153">
      <c r="A153" s="1" t="str">
        <f>IFERROR(__xludf.DUMMYFUNCTION("""COMPUTED_VALUE"""),"APSG")</f>
        <v>APSG</v>
      </c>
    </row>
    <row r="154">
      <c r="A154" s="1" t="str">
        <f>IFERROR(__xludf.DUMMYFUNCTION("""COMPUTED_VALUE"""),"APTS")</f>
        <v>APTS</v>
      </c>
    </row>
    <row r="155">
      <c r="A155" s="1" t="str">
        <f>IFERROR(__xludf.DUMMYFUNCTION("""COMPUTED_VALUE"""),"APTV")</f>
        <v>APTV</v>
      </c>
    </row>
    <row r="156">
      <c r="A156" s="1" t="str">
        <f>IFERROR(__xludf.DUMMYFUNCTION("""COMPUTED_VALUE"""),"AQN")</f>
        <v>AQN</v>
      </c>
    </row>
    <row r="157">
      <c r="A157" s="1" t="str">
        <f>IFERROR(__xludf.DUMMYFUNCTION("""COMPUTED_VALUE"""),"AQNA")</f>
        <v>AQNA</v>
      </c>
    </row>
    <row r="158">
      <c r="A158" s="1" t="str">
        <f>IFERROR(__xludf.DUMMYFUNCTION("""COMPUTED_VALUE"""),"AQNB")</f>
        <v>AQNB</v>
      </c>
    </row>
    <row r="159">
      <c r="A159" s="1" t="str">
        <f>IFERROR(__xludf.DUMMYFUNCTION("""COMPUTED_VALUE"""),"AQNU")</f>
        <v>AQNU</v>
      </c>
    </row>
    <row r="160">
      <c r="A160" s="1" t="str">
        <f>IFERROR(__xludf.DUMMYFUNCTION("""COMPUTED_VALUE"""),"AQUA")</f>
        <v>AQUA</v>
      </c>
    </row>
    <row r="161">
      <c r="A161" s="1" t="str">
        <f>IFERROR(__xludf.DUMMYFUNCTION("""COMPUTED_VALUE"""),"AR")</f>
        <v>AR</v>
      </c>
    </row>
    <row r="162">
      <c r="A162" s="1" t="str">
        <f>IFERROR(__xludf.DUMMYFUNCTION("""COMPUTED_VALUE"""),"ARC")</f>
        <v>ARC</v>
      </c>
    </row>
    <row r="163">
      <c r="A163" s="1" t="str">
        <f>IFERROR(__xludf.DUMMYFUNCTION("""COMPUTED_VALUE"""),"ARCH")</f>
        <v>ARCH</v>
      </c>
    </row>
    <row r="164">
      <c r="A164" s="1" t="str">
        <f>IFERROR(__xludf.DUMMYFUNCTION("""COMPUTED_VALUE"""),"ARCO")</f>
        <v>ARCO</v>
      </c>
    </row>
    <row r="165">
      <c r="A165" s="1" t="str">
        <f>IFERROR(__xludf.DUMMYFUNCTION("""COMPUTED_VALUE"""),"ARD")</f>
        <v>ARD</v>
      </c>
    </row>
    <row r="166">
      <c r="A166" s="1" t="str">
        <f>IFERROR(__xludf.DUMMYFUNCTION("""COMPUTED_VALUE"""),"ARDC")</f>
        <v>ARDC</v>
      </c>
    </row>
    <row r="167">
      <c r="A167" s="1" t="str">
        <f>IFERROR(__xludf.DUMMYFUNCTION("""COMPUTED_VALUE"""),"ARE")</f>
        <v>ARE</v>
      </c>
    </row>
    <row r="168">
      <c r="A168" s="1" t="str">
        <f>IFERROR(__xludf.DUMMYFUNCTION("""COMPUTED_VALUE"""),"ARES")</f>
        <v>ARES</v>
      </c>
    </row>
    <row r="169">
      <c r="A169" s="1" t="str">
        <f>IFERROR(__xludf.DUMMYFUNCTION("""COMPUTED_VALUE"""),"ARGD")</f>
        <v>ARGD</v>
      </c>
    </row>
    <row r="170">
      <c r="A170" s="1" t="str">
        <f>IFERROR(__xludf.DUMMYFUNCTION("""COMPUTED_VALUE"""),"ARGO")</f>
        <v>ARGO</v>
      </c>
    </row>
    <row r="171">
      <c r="A171" s="1" t="str">
        <f>IFERROR(__xludf.DUMMYFUNCTION("""COMPUTED_VALUE"""),"ARI")</f>
        <v>ARI</v>
      </c>
    </row>
    <row r="172">
      <c r="A172" s="1" t="str">
        <f>IFERROR(__xludf.DUMMYFUNCTION("""COMPUTED_VALUE"""),"ARL")</f>
        <v>ARL</v>
      </c>
    </row>
    <row r="173">
      <c r="A173" s="1" t="str">
        <f>IFERROR(__xludf.DUMMYFUNCTION("""COMPUTED_VALUE"""),"ARLO")</f>
        <v>ARLO</v>
      </c>
    </row>
    <row r="174">
      <c r="A174" s="1" t="str">
        <f>IFERROR(__xludf.DUMMYFUNCTION("""COMPUTED_VALUE"""),"ARMK")</f>
        <v>ARMK</v>
      </c>
    </row>
    <row r="175">
      <c r="A175" s="1" t="str">
        <f>IFERROR(__xludf.DUMMYFUNCTION("""COMPUTED_VALUE"""),"ARNC")</f>
        <v>ARNC</v>
      </c>
    </row>
    <row r="176">
      <c r="A176" s="1" t="str">
        <f>IFERROR(__xludf.DUMMYFUNCTION("""COMPUTED_VALUE"""),"AROC")</f>
        <v>AROC</v>
      </c>
    </row>
    <row r="177">
      <c r="A177" s="1" t="str">
        <f>IFERROR(__xludf.DUMMYFUNCTION("""COMPUTED_VALUE"""),"ARR")</f>
        <v>ARR</v>
      </c>
    </row>
    <row r="178">
      <c r="A178" s="1" t="str">
        <f>IFERROR(__xludf.DUMMYFUNCTION("""COMPUTED_VALUE"""),"ARW")</f>
        <v>ARW</v>
      </c>
    </row>
    <row r="179">
      <c r="A179" s="1" t="str">
        <f>IFERROR(__xludf.DUMMYFUNCTION("""COMPUTED_VALUE"""),"ASA")</f>
        <v>ASA</v>
      </c>
    </row>
    <row r="180">
      <c r="A180" s="1" t="str">
        <f>IFERROR(__xludf.DUMMYFUNCTION("""COMPUTED_VALUE"""),"ASAI")</f>
        <v>ASAI</v>
      </c>
    </row>
    <row r="181">
      <c r="A181" s="1" t="str">
        <f>IFERROR(__xludf.DUMMYFUNCTION("""COMPUTED_VALUE"""),"ASAN")</f>
        <v>ASAN</v>
      </c>
    </row>
    <row r="182">
      <c r="A182" s="1" t="str">
        <f>IFERROR(__xludf.DUMMYFUNCTION("""COMPUTED_VALUE"""),"ASAQ")</f>
        <v>ASAQ</v>
      </c>
    </row>
    <row r="183">
      <c r="A183" s="1" t="str">
        <f>IFERROR(__xludf.DUMMYFUNCTION("""COMPUTED_VALUE"""),"ASB")</f>
        <v>ASB</v>
      </c>
    </row>
    <row r="184">
      <c r="A184" s="1" t="str">
        <f>IFERROR(__xludf.DUMMYFUNCTION("""COMPUTED_VALUE"""),"ASC")</f>
        <v>ASC</v>
      </c>
    </row>
    <row r="185">
      <c r="A185" s="1" t="str">
        <f>IFERROR(__xludf.DUMMYFUNCTION("""COMPUTED_VALUE"""),"ASG")</f>
        <v>ASG</v>
      </c>
    </row>
    <row r="186">
      <c r="A186" s="1" t="str">
        <f>IFERROR(__xludf.DUMMYFUNCTION("""COMPUTED_VALUE"""),"ASGI")</f>
        <v>ASGI</v>
      </c>
    </row>
    <row r="187">
      <c r="A187" s="1" t="str">
        <f>IFERROR(__xludf.DUMMYFUNCTION("""COMPUTED_VALUE"""),"ASGN")</f>
        <v>ASGN</v>
      </c>
    </row>
    <row r="188">
      <c r="A188" s="1" t="str">
        <f>IFERROR(__xludf.DUMMYFUNCTION("""COMPUTED_VALUE"""),"ASH")</f>
        <v>ASH</v>
      </c>
    </row>
    <row r="189">
      <c r="A189" s="1" t="str">
        <f>IFERROR(__xludf.DUMMYFUNCTION("""COMPUTED_VALUE"""),"ASIX")</f>
        <v>ASIX</v>
      </c>
    </row>
    <row r="190">
      <c r="A190" s="1" t="str">
        <f>IFERROR(__xludf.DUMMYFUNCTION("""COMPUTED_VALUE"""),"ASPN")</f>
        <v>ASPN</v>
      </c>
    </row>
    <row r="191">
      <c r="A191" s="1" t="str">
        <f>IFERROR(__xludf.DUMMYFUNCTION("""COMPUTED_VALUE"""),"ASR")</f>
        <v>ASR</v>
      </c>
    </row>
    <row r="192">
      <c r="A192" s="1" t="str">
        <f>IFERROR(__xludf.DUMMYFUNCTION("""COMPUTED_VALUE"""),"ASX")</f>
        <v>ASX</v>
      </c>
    </row>
    <row r="193">
      <c r="A193" s="1" t="str">
        <f>IFERROR(__xludf.DUMMYFUNCTION("""COMPUTED_VALUE"""),"ASZ")</f>
        <v>ASZ</v>
      </c>
    </row>
    <row r="194">
      <c r="A194" s="1" t="str">
        <f>IFERROR(__xludf.DUMMYFUNCTION("""COMPUTED_VALUE"""),"ATA")</f>
        <v>ATA</v>
      </c>
    </row>
    <row r="195">
      <c r="A195" s="1" t="str">
        <f>IFERROR(__xludf.DUMMYFUNCTION("""COMPUTED_VALUE"""),"ATAQ")</f>
        <v>ATAQ</v>
      </c>
    </row>
    <row r="196">
      <c r="A196" s="1" t="str">
        <f>IFERROR(__xludf.DUMMYFUNCTION("""COMPUTED_VALUE"""),"ATC")</f>
        <v>ATC</v>
      </c>
    </row>
    <row r="197">
      <c r="A197" s="1" t="str">
        <f>IFERROR(__xludf.DUMMYFUNCTION("""COMPUTED_VALUE"""),"ATCO")</f>
        <v>ATCO</v>
      </c>
    </row>
    <row r="198">
      <c r="A198" s="1" t="str">
        <f>IFERROR(__xludf.DUMMYFUNCTION("""COMPUTED_VALUE"""),"ATEN")</f>
        <v>ATEN</v>
      </c>
    </row>
    <row r="199">
      <c r="A199" s="1" t="str">
        <f>IFERROR(__xludf.DUMMYFUNCTION("""COMPUTED_VALUE"""),"ATGE")</f>
        <v>ATGE</v>
      </c>
    </row>
    <row r="200">
      <c r="A200" s="1" t="str">
        <f>IFERROR(__xludf.DUMMYFUNCTION("""COMPUTED_VALUE"""),"ATH")</f>
        <v>ATH</v>
      </c>
    </row>
    <row r="201">
      <c r="A201" s="1" t="str">
        <f>IFERROR(__xludf.DUMMYFUNCTION("""COMPUTED_VALUE"""),"ATHM")</f>
        <v>ATHM</v>
      </c>
    </row>
    <row r="202">
      <c r="A202" s="1" t="str">
        <f>IFERROR(__xludf.DUMMYFUNCTION("""COMPUTED_VALUE"""),"ATHN")</f>
        <v>ATHN</v>
      </c>
    </row>
    <row r="203">
      <c r="A203" s="1" t="str">
        <f>IFERROR(__xludf.DUMMYFUNCTION("""COMPUTED_VALUE"""),"ATI")</f>
        <v>ATI</v>
      </c>
    </row>
    <row r="204">
      <c r="A204" s="1" t="str">
        <f>IFERROR(__xludf.DUMMYFUNCTION("""COMPUTED_VALUE"""),"ATIP")</f>
        <v>ATIP</v>
      </c>
    </row>
    <row r="205">
      <c r="A205" s="1" t="str">
        <f>IFERROR(__xludf.DUMMYFUNCTION("""COMPUTED_VALUE"""),"ATKR")</f>
        <v>ATKR</v>
      </c>
    </row>
    <row r="206">
      <c r="A206" s="1" t="str">
        <f>IFERROR(__xludf.DUMMYFUNCTION("""COMPUTED_VALUE"""),"ATMR")</f>
        <v>ATMR</v>
      </c>
    </row>
    <row r="207">
      <c r="A207" s="1" t="str">
        <f>IFERROR(__xludf.DUMMYFUNCTION("""COMPUTED_VALUE"""),"ATO")</f>
        <v>ATO</v>
      </c>
    </row>
    <row r="208">
      <c r="A208" s="1" t="str">
        <f>IFERROR(__xludf.DUMMYFUNCTION("""COMPUTED_VALUE"""),"ATR")</f>
        <v>ATR</v>
      </c>
    </row>
    <row r="209">
      <c r="A209" s="1" t="str">
        <f>IFERROR(__xludf.DUMMYFUNCTION("""COMPUTED_VALUE"""),"ATTO")</f>
        <v>ATTO</v>
      </c>
    </row>
    <row r="210">
      <c r="A210" s="1" t="str">
        <f>IFERROR(__xludf.DUMMYFUNCTION("""COMPUTED_VALUE"""),"ATUS")</f>
        <v>ATUS</v>
      </c>
    </row>
    <row r="211">
      <c r="A211" s="1" t="str">
        <f>IFERROR(__xludf.DUMMYFUNCTION("""COMPUTED_VALUE"""),"AU")</f>
        <v>AU</v>
      </c>
    </row>
    <row r="212">
      <c r="A212" s="1" t="str">
        <f>IFERROR(__xludf.DUMMYFUNCTION("""COMPUTED_VALUE"""),"AUD")</f>
        <v>AUD</v>
      </c>
    </row>
    <row r="213">
      <c r="A213" s="1" t="str">
        <f>IFERROR(__xludf.DUMMYFUNCTION("""COMPUTED_VALUE"""),"AUS")</f>
        <v>AUS</v>
      </c>
    </row>
    <row r="214">
      <c r="A214" s="1" t="str">
        <f>IFERROR(__xludf.DUMMYFUNCTION("""COMPUTED_VALUE"""),"AUY")</f>
        <v>AUY</v>
      </c>
    </row>
    <row r="215">
      <c r="A215" s="1" t="str">
        <f>IFERROR(__xludf.DUMMYFUNCTION("""COMPUTED_VALUE"""),"AVA")</f>
        <v>AVA</v>
      </c>
    </row>
    <row r="216">
      <c r="A216" s="1" t="str">
        <f>IFERROR(__xludf.DUMMYFUNCTION("""COMPUTED_VALUE"""),"AVAL")</f>
        <v>AVAL</v>
      </c>
    </row>
    <row r="217">
      <c r="A217" s="1" t="str">
        <f>IFERROR(__xludf.DUMMYFUNCTION("""COMPUTED_VALUE"""),"AVAN")</f>
        <v>AVAN</v>
      </c>
    </row>
    <row r="218">
      <c r="A218" s="1" t="str">
        <f>IFERROR(__xludf.DUMMYFUNCTION("""COMPUTED_VALUE"""),"AVB")</f>
        <v>AVB</v>
      </c>
    </row>
    <row r="219">
      <c r="A219" s="1" t="str">
        <f>IFERROR(__xludf.DUMMYFUNCTION("""COMPUTED_VALUE"""),"AVD")</f>
        <v>AVD</v>
      </c>
    </row>
    <row r="220">
      <c r="A220" s="1" t="str">
        <f>IFERROR(__xludf.DUMMYFUNCTION("""COMPUTED_VALUE"""),"AVK")</f>
        <v>AVK</v>
      </c>
    </row>
    <row r="221">
      <c r="A221" s="1" t="str">
        <f>IFERROR(__xludf.DUMMYFUNCTION("""COMPUTED_VALUE"""),"AVLR")</f>
        <v>AVLR</v>
      </c>
    </row>
    <row r="222">
      <c r="A222" s="1" t="str">
        <f>IFERROR(__xludf.DUMMYFUNCTION("""COMPUTED_VALUE"""),"AVNS")</f>
        <v>AVNS</v>
      </c>
    </row>
    <row r="223">
      <c r="A223" s="1" t="str">
        <f>IFERROR(__xludf.DUMMYFUNCTION("""COMPUTED_VALUE"""),"AVNT")</f>
        <v>AVNT</v>
      </c>
    </row>
    <row r="224">
      <c r="A224" s="1" t="str">
        <f>IFERROR(__xludf.DUMMYFUNCTION("""COMPUTED_VALUE"""),"AVTR")</f>
        <v>AVTR</v>
      </c>
    </row>
    <row r="225">
      <c r="A225" s="1" t="str">
        <f>IFERROR(__xludf.DUMMYFUNCTION("""COMPUTED_VALUE"""),"AVY")</f>
        <v>AVY</v>
      </c>
    </row>
    <row r="226">
      <c r="A226" s="1" t="str">
        <f>IFERROR(__xludf.DUMMYFUNCTION("""COMPUTED_VALUE"""),"AVYA")</f>
        <v>AVYA</v>
      </c>
    </row>
    <row r="227">
      <c r="A227" s="1" t="str">
        <f>IFERROR(__xludf.DUMMYFUNCTION("""COMPUTED_VALUE"""),"AWF")</f>
        <v>AWF</v>
      </c>
    </row>
    <row r="228">
      <c r="A228" s="1" t="str">
        <f>IFERROR(__xludf.DUMMYFUNCTION("""COMPUTED_VALUE"""),"AWI")</f>
        <v>AWI</v>
      </c>
    </row>
    <row r="229">
      <c r="A229" s="1" t="str">
        <f>IFERROR(__xludf.DUMMYFUNCTION("""COMPUTED_VALUE"""),"AWK")</f>
        <v>AWK</v>
      </c>
    </row>
    <row r="230">
      <c r="A230" s="1" t="str">
        <f>IFERROR(__xludf.DUMMYFUNCTION("""COMPUTED_VALUE"""),"AWP")</f>
        <v>AWP</v>
      </c>
    </row>
    <row r="231">
      <c r="A231" s="1" t="str">
        <f>IFERROR(__xludf.DUMMYFUNCTION("""COMPUTED_VALUE"""),"AWR")</f>
        <v>AWR</v>
      </c>
    </row>
    <row r="232">
      <c r="A232" s="1" t="str">
        <f>IFERROR(__xludf.DUMMYFUNCTION("""COMPUTED_VALUE"""),"AX")</f>
        <v>AX</v>
      </c>
    </row>
    <row r="233">
      <c r="A233" s="1" t="str">
        <f>IFERROR(__xludf.DUMMYFUNCTION("""COMPUTED_VALUE"""),"AXL")</f>
        <v>AXL</v>
      </c>
    </row>
    <row r="234">
      <c r="A234" s="1" t="str">
        <f>IFERROR(__xludf.DUMMYFUNCTION("""COMPUTED_VALUE"""),"AXP")</f>
        <v>AXP</v>
      </c>
    </row>
    <row r="235">
      <c r="A235" s="1" t="str">
        <f>IFERROR(__xludf.DUMMYFUNCTION("""COMPUTED_VALUE"""),"AXR")</f>
        <v>AXR</v>
      </c>
    </row>
    <row r="236">
      <c r="A236" s="1" t="str">
        <f>IFERROR(__xludf.DUMMYFUNCTION("""COMPUTED_VALUE"""),"AXS")</f>
        <v>AXS</v>
      </c>
    </row>
    <row r="237">
      <c r="A237" s="1" t="str">
        <f>IFERROR(__xludf.DUMMYFUNCTION("""COMPUTED_VALUE"""),"AXTA")</f>
        <v>AXTA</v>
      </c>
    </row>
    <row r="238">
      <c r="A238" s="1" t="str">
        <f>IFERROR(__xludf.DUMMYFUNCTION("""COMPUTED_VALUE"""),"AYI")</f>
        <v>AYI</v>
      </c>
    </row>
    <row r="239">
      <c r="A239" s="1" t="str">
        <f>IFERROR(__xludf.DUMMYFUNCTION("""COMPUTED_VALUE"""),"AYX")</f>
        <v>AYX</v>
      </c>
    </row>
    <row r="240">
      <c r="A240" s="1" t="str">
        <f>IFERROR(__xludf.DUMMYFUNCTION("""COMPUTED_VALUE"""),"AZEK")</f>
        <v>AZEK</v>
      </c>
    </row>
    <row r="241">
      <c r="A241" s="1" t="str">
        <f>IFERROR(__xludf.DUMMYFUNCTION("""COMPUTED_VALUE"""),"AZO")</f>
        <v>AZO</v>
      </c>
    </row>
    <row r="242">
      <c r="A242" s="1" t="str">
        <f>IFERROR(__xludf.DUMMYFUNCTION("""COMPUTED_VALUE"""),"AZRE")</f>
        <v>AZRE</v>
      </c>
    </row>
    <row r="243">
      <c r="A243" s="1" t="str">
        <f>IFERROR(__xludf.DUMMYFUNCTION("""COMPUTED_VALUE"""),"AZUL")</f>
        <v>AZUL</v>
      </c>
    </row>
    <row r="244">
      <c r="A244" s="1" t="str">
        <f>IFERROR(__xludf.DUMMYFUNCTION("""COMPUTED_VALUE"""),"AZZ")</f>
        <v>AZZ</v>
      </c>
    </row>
    <row r="245">
      <c r="A245" s="1" t="str">
        <f>IFERROR(__xludf.DUMMYFUNCTION("""COMPUTED_VALUE"""),"B")</f>
        <v>B</v>
      </c>
    </row>
    <row r="246">
      <c r="A246" s="1" t="str">
        <f>IFERROR(__xludf.DUMMYFUNCTION("""COMPUTED_VALUE"""),"BA")</f>
        <v>BA</v>
      </c>
    </row>
    <row r="247">
      <c r="A247" s="1" t="str">
        <f>IFERROR(__xludf.DUMMYFUNCTION("""COMPUTED_VALUE"""),"BABA")</f>
        <v>BABA</v>
      </c>
    </row>
    <row r="248">
      <c r="A248" s="1" t="str">
        <f>IFERROR(__xludf.DUMMYFUNCTION("""COMPUTED_VALUE"""),"BAC")</f>
        <v>BAC</v>
      </c>
    </row>
    <row r="249">
      <c r="A249" s="1" t="str">
        <f>IFERROR(__xludf.DUMMYFUNCTION("""COMPUTED_VALUE"""),"BAH")</f>
        <v>BAH</v>
      </c>
    </row>
    <row r="250">
      <c r="A250" s="1" t="str">
        <f>IFERROR(__xludf.DUMMYFUNCTION("""COMPUTED_VALUE"""),"BAK")</f>
        <v>BAK</v>
      </c>
    </row>
    <row r="251">
      <c r="A251" s="1" t="str">
        <f>IFERROR(__xludf.DUMMYFUNCTION("""COMPUTED_VALUE"""),"BALY")</f>
        <v>BALY</v>
      </c>
    </row>
    <row r="252">
      <c r="A252" s="1" t="str">
        <f>IFERROR(__xludf.DUMMYFUNCTION("""COMPUTED_VALUE"""),"BAM")</f>
        <v>BAM</v>
      </c>
    </row>
    <row r="253">
      <c r="A253" s="1" t="str">
        <f>IFERROR(__xludf.DUMMYFUNCTION("""COMPUTED_VALUE"""),"BAMH")</f>
        <v>BAMH</v>
      </c>
    </row>
    <row r="254">
      <c r="A254" s="1" t="str">
        <f>IFERROR(__xludf.DUMMYFUNCTION("""COMPUTED_VALUE"""),"BAMI")</f>
        <v>BAMI</v>
      </c>
    </row>
    <row r="255">
      <c r="A255" s="1" t="str">
        <f>IFERROR(__xludf.DUMMYFUNCTION("""COMPUTED_VALUE"""),"BAMR")</f>
        <v>BAMR</v>
      </c>
    </row>
    <row r="256">
      <c r="A256" s="1" t="str">
        <f>IFERROR(__xludf.DUMMYFUNCTION("""COMPUTED_VALUE"""),"BANC")</f>
        <v>BANC</v>
      </c>
    </row>
    <row r="257">
      <c r="A257" s="1" t="str">
        <f>IFERROR(__xludf.DUMMYFUNCTION("""COMPUTED_VALUE"""),"BAP")</f>
        <v>BAP</v>
      </c>
    </row>
    <row r="258">
      <c r="A258" s="1" t="str">
        <f>IFERROR(__xludf.DUMMYFUNCTION("""COMPUTED_VALUE"""),"BARK")</f>
        <v>BARK</v>
      </c>
    </row>
    <row r="259">
      <c r="A259" s="1" t="str">
        <f>IFERROR(__xludf.DUMMYFUNCTION("""COMPUTED_VALUE"""),"BAX")</f>
        <v>BAX</v>
      </c>
    </row>
    <row r="260">
      <c r="A260" s="1" t="str">
        <f>IFERROR(__xludf.DUMMYFUNCTION("""COMPUTED_VALUE"""),"BB")</f>
        <v>BB</v>
      </c>
    </row>
    <row r="261">
      <c r="A261" s="1" t="str">
        <f>IFERROR(__xludf.DUMMYFUNCTION("""COMPUTED_VALUE"""),"BBAR")</f>
        <v>BBAR</v>
      </c>
    </row>
    <row r="262">
      <c r="A262" s="1" t="str">
        <f>IFERROR(__xludf.DUMMYFUNCTION("""COMPUTED_VALUE"""),"BBD")</f>
        <v>BBD</v>
      </c>
    </row>
    <row r="263">
      <c r="A263" s="1" t="str">
        <f>IFERROR(__xludf.DUMMYFUNCTION("""COMPUTED_VALUE"""),"BBDC")</f>
        <v>BBDC</v>
      </c>
    </row>
    <row r="264">
      <c r="A264" s="1" t="str">
        <f>IFERROR(__xludf.DUMMYFUNCTION("""COMPUTED_VALUE"""),"BBDO")</f>
        <v>BBDO</v>
      </c>
    </row>
    <row r="265">
      <c r="A265" s="1" t="str">
        <f>IFERROR(__xludf.DUMMYFUNCTION("""COMPUTED_VALUE"""),"BBL")</f>
        <v>BBL</v>
      </c>
    </row>
    <row r="266">
      <c r="A266" s="1" t="str">
        <f>IFERROR(__xludf.DUMMYFUNCTION("""COMPUTED_VALUE"""),"BBN")</f>
        <v>BBN</v>
      </c>
    </row>
    <row r="267">
      <c r="A267" s="1" t="str">
        <f>IFERROR(__xludf.DUMMYFUNCTION("""COMPUTED_VALUE"""),"BBU")</f>
        <v>BBU</v>
      </c>
    </row>
    <row r="268">
      <c r="A268" s="1" t="str">
        <f>IFERROR(__xludf.DUMMYFUNCTION("""COMPUTED_VALUE"""),"BBVA")</f>
        <v>BBVA</v>
      </c>
    </row>
    <row r="269">
      <c r="A269" s="1" t="str">
        <f>IFERROR(__xludf.DUMMYFUNCTION("""COMPUTED_VALUE"""),"BBW")</f>
        <v>BBW</v>
      </c>
    </row>
    <row r="270">
      <c r="A270" s="1" t="str">
        <f>IFERROR(__xludf.DUMMYFUNCTION("""COMPUTED_VALUE"""),"BBWI")</f>
        <v>BBWI</v>
      </c>
    </row>
    <row r="271">
      <c r="A271" s="1" t="str">
        <f>IFERROR(__xludf.DUMMYFUNCTION("""COMPUTED_VALUE"""),"BBY")</f>
        <v>BBY</v>
      </c>
    </row>
    <row r="272">
      <c r="A272" s="1" t="str">
        <f>IFERROR(__xludf.DUMMYFUNCTION("""COMPUTED_VALUE"""),"BC")</f>
        <v>BC</v>
      </c>
    </row>
    <row r="273">
      <c r="A273" s="1" t="str">
        <f>IFERROR(__xludf.DUMMYFUNCTION("""COMPUTED_VALUE"""),"BCAT")</f>
        <v>BCAT</v>
      </c>
    </row>
    <row r="274">
      <c r="A274" s="1" t="str">
        <f>IFERROR(__xludf.DUMMYFUNCTION("""COMPUTED_VALUE"""),"BCC")</f>
        <v>BCC</v>
      </c>
    </row>
    <row r="275">
      <c r="A275" s="1" t="str">
        <f>IFERROR(__xludf.DUMMYFUNCTION("""COMPUTED_VALUE"""),"BCE")</f>
        <v>BCE</v>
      </c>
    </row>
    <row r="276">
      <c r="A276" s="1" t="str">
        <f>IFERROR(__xludf.DUMMYFUNCTION("""COMPUTED_VALUE"""),"BCEI")</f>
        <v>BCEI</v>
      </c>
    </row>
    <row r="277">
      <c r="A277" s="1" t="str">
        <f>IFERROR(__xludf.DUMMYFUNCTION("""COMPUTED_VALUE"""),"BCH")</f>
        <v>BCH</v>
      </c>
    </row>
    <row r="278">
      <c r="A278" s="1" t="str">
        <f>IFERROR(__xludf.DUMMYFUNCTION("""COMPUTED_VALUE"""),"BCO")</f>
        <v>BCO</v>
      </c>
    </row>
    <row r="279">
      <c r="A279" s="1" t="str">
        <f>IFERROR(__xludf.DUMMYFUNCTION("""COMPUTED_VALUE"""),"BCS")</f>
        <v>BCS</v>
      </c>
    </row>
    <row r="280">
      <c r="A280" s="1" t="str">
        <f>IFERROR(__xludf.DUMMYFUNCTION("""COMPUTED_VALUE"""),"BCSF")</f>
        <v>BCSF</v>
      </c>
    </row>
    <row r="281">
      <c r="A281" s="1" t="str">
        <f>IFERROR(__xludf.DUMMYFUNCTION("""COMPUTED_VALUE"""),"BCX")</f>
        <v>BCX</v>
      </c>
    </row>
    <row r="282">
      <c r="A282" s="1" t="str">
        <f>IFERROR(__xludf.DUMMYFUNCTION("""COMPUTED_VALUE"""),"BDC")</f>
        <v>BDC</v>
      </c>
    </row>
    <row r="283">
      <c r="A283" s="1" t="str">
        <f>IFERROR(__xludf.DUMMYFUNCTION("""COMPUTED_VALUE"""),"BDJ")</f>
        <v>BDJ</v>
      </c>
    </row>
    <row r="284">
      <c r="A284" s="1" t="str">
        <f>IFERROR(__xludf.DUMMYFUNCTION("""COMPUTED_VALUE"""),"BDN")</f>
        <v>BDN</v>
      </c>
    </row>
    <row r="285">
      <c r="A285" s="1" t="str">
        <f>IFERROR(__xludf.DUMMYFUNCTION("""COMPUTED_VALUE"""),"BDX")</f>
        <v>BDX</v>
      </c>
    </row>
    <row r="286">
      <c r="A286" s="1" t="str">
        <f>IFERROR(__xludf.DUMMYFUNCTION("""COMPUTED_VALUE"""),"BDXB")</f>
        <v>BDXB</v>
      </c>
    </row>
    <row r="287">
      <c r="A287" s="1" t="str">
        <f>IFERROR(__xludf.DUMMYFUNCTION("""COMPUTED_VALUE"""),"BE")</f>
        <v>BE</v>
      </c>
    </row>
    <row r="288">
      <c r="A288" s="1" t="str">
        <f>IFERROR(__xludf.DUMMYFUNCTION("""COMPUTED_VALUE"""),"BEDU")</f>
        <v>BEDU</v>
      </c>
    </row>
    <row r="289">
      <c r="A289" s="1" t="str">
        <f>IFERROR(__xludf.DUMMYFUNCTION("""COMPUTED_VALUE"""),"BEKE")</f>
        <v>BEKE</v>
      </c>
    </row>
    <row r="290">
      <c r="A290" s="1" t="str">
        <f>IFERROR(__xludf.DUMMYFUNCTION("""COMPUTED_VALUE"""),"BEN")</f>
        <v>BEN</v>
      </c>
    </row>
    <row r="291">
      <c r="A291" s="1" t="str">
        <f>IFERROR(__xludf.DUMMYFUNCTION("""COMPUTED_VALUE"""),"BEP")</f>
        <v>BEP</v>
      </c>
    </row>
    <row r="292">
      <c r="A292" s="1" t="str">
        <f>IFERROR(__xludf.DUMMYFUNCTION("""COMPUTED_VALUE"""),"BEPC")</f>
        <v>BEPC</v>
      </c>
    </row>
    <row r="293">
      <c r="A293" s="1" t="str">
        <f>IFERROR(__xludf.DUMMYFUNCTION("""COMPUTED_VALUE"""),"BEPH")</f>
        <v>BEPH</v>
      </c>
    </row>
    <row r="294">
      <c r="A294" s="1" t="str">
        <f>IFERROR(__xludf.DUMMYFUNCTION("""COMPUTED_VALUE"""),"BERY")</f>
        <v>BERY</v>
      </c>
    </row>
    <row r="295">
      <c r="A295" s="1" t="str">
        <f>IFERROR(__xludf.DUMMYFUNCTION("""COMPUTED_VALUE"""),"BEST")</f>
        <v>BEST</v>
      </c>
    </row>
    <row r="296">
      <c r="A296" s="1" t="str">
        <f>IFERROR(__xludf.DUMMYFUNCTION("""COMPUTED_VALUE"""),"BFAM")</f>
        <v>BFAM</v>
      </c>
    </row>
    <row r="297">
      <c r="A297" s="1" t="str">
        <f>IFERROR(__xludf.DUMMYFUNCTION("""COMPUTED_VALUE"""),"BFK")</f>
        <v>BFK</v>
      </c>
    </row>
    <row r="298">
      <c r="A298" s="1" t="str">
        <f>IFERROR(__xludf.DUMMYFUNCTION("""COMPUTED_VALUE"""),"BFLY")</f>
        <v>BFLY</v>
      </c>
    </row>
    <row r="299">
      <c r="A299" s="1" t="str">
        <f>IFERROR(__xludf.DUMMYFUNCTION("""COMPUTED_VALUE"""),"BFS")</f>
        <v>BFS</v>
      </c>
    </row>
    <row r="300">
      <c r="A300" s="1" t="str">
        <f>IFERROR(__xludf.DUMMYFUNCTION("""COMPUTED_VALUE"""),"BFZ")</f>
        <v>BFZ</v>
      </c>
    </row>
    <row r="301">
      <c r="A301" s="1" t="str">
        <f>IFERROR(__xludf.DUMMYFUNCTION("""COMPUTED_VALUE"""),"BG")</f>
        <v>BG</v>
      </c>
    </row>
    <row r="302">
      <c r="A302" s="1" t="str">
        <f>IFERROR(__xludf.DUMMYFUNCTION("""COMPUTED_VALUE"""),"BGB")</f>
        <v>BGB</v>
      </c>
    </row>
    <row r="303">
      <c r="A303" s="1" t="str">
        <f>IFERROR(__xludf.DUMMYFUNCTION("""COMPUTED_VALUE"""),"BGH")</f>
        <v>BGH</v>
      </c>
    </row>
    <row r="304">
      <c r="A304" s="1" t="str">
        <f>IFERROR(__xludf.DUMMYFUNCTION("""COMPUTED_VALUE"""),"BGIO")</f>
        <v>BGIO</v>
      </c>
    </row>
    <row r="305">
      <c r="A305" s="1" t="str">
        <f>IFERROR(__xludf.DUMMYFUNCTION("""COMPUTED_VALUE"""),"BGR")</f>
        <v>BGR</v>
      </c>
    </row>
    <row r="306">
      <c r="A306" s="1" t="str">
        <f>IFERROR(__xludf.DUMMYFUNCTION("""COMPUTED_VALUE"""),"BGS")</f>
        <v>BGS</v>
      </c>
    </row>
    <row r="307">
      <c r="A307" s="1" t="str">
        <f>IFERROR(__xludf.DUMMYFUNCTION("""COMPUTED_VALUE"""),"BGSF")</f>
        <v>BGSF</v>
      </c>
    </row>
    <row r="308">
      <c r="A308" s="1" t="str">
        <f>IFERROR(__xludf.DUMMYFUNCTION("""COMPUTED_VALUE"""),"BGSX")</f>
        <v>BGSX</v>
      </c>
    </row>
    <row r="309">
      <c r="A309" s="1" t="str">
        <f>IFERROR(__xludf.DUMMYFUNCTION("""COMPUTED_VALUE"""),"BGT")</f>
        <v>BGT</v>
      </c>
    </row>
    <row r="310">
      <c r="A310" s="1" t="str">
        <f>IFERROR(__xludf.DUMMYFUNCTION("""COMPUTED_VALUE"""),"BGX")</f>
        <v>BGX</v>
      </c>
    </row>
    <row r="311">
      <c r="A311" s="1" t="str">
        <f>IFERROR(__xludf.DUMMYFUNCTION("""COMPUTED_VALUE"""),"BGY")</f>
        <v>BGY</v>
      </c>
    </row>
    <row r="312">
      <c r="A312" s="1" t="str">
        <f>IFERROR(__xludf.DUMMYFUNCTION("""COMPUTED_VALUE"""),"BH")</f>
        <v>BH</v>
      </c>
    </row>
    <row r="313">
      <c r="A313" s="1" t="str">
        <f>IFERROR(__xludf.DUMMYFUNCTION("""COMPUTED_VALUE"""),"BHC")</f>
        <v>BHC</v>
      </c>
    </row>
    <row r="314">
      <c r="A314" s="1" t="str">
        <f>IFERROR(__xludf.DUMMYFUNCTION("""COMPUTED_VALUE"""),"BHE")</f>
        <v>BHE</v>
      </c>
    </row>
    <row r="315">
      <c r="A315" s="1" t="str">
        <f>IFERROR(__xludf.DUMMYFUNCTION("""COMPUTED_VALUE"""),"BHG")</f>
        <v>BHG</v>
      </c>
    </row>
    <row r="316">
      <c r="A316" s="1" t="str">
        <f>IFERROR(__xludf.DUMMYFUNCTION("""COMPUTED_VALUE"""),"BHK")</f>
        <v>BHK</v>
      </c>
    </row>
    <row r="317">
      <c r="A317" s="1" t="str">
        <f>IFERROR(__xludf.DUMMYFUNCTION("""COMPUTED_VALUE"""),"BHLB")</f>
        <v>BHLB</v>
      </c>
    </row>
    <row r="318">
      <c r="A318" s="1" t="str">
        <f>IFERROR(__xludf.DUMMYFUNCTION("""COMPUTED_VALUE"""),"BHP")</f>
        <v>BHP</v>
      </c>
    </row>
    <row r="319">
      <c r="A319" s="1" t="str">
        <f>IFERROR(__xludf.DUMMYFUNCTION("""COMPUTED_VALUE"""),"BHR")</f>
        <v>BHR</v>
      </c>
    </row>
    <row r="320">
      <c r="A320" s="1" t="str">
        <f>IFERROR(__xludf.DUMMYFUNCTION("""COMPUTED_VALUE"""),"BHV")</f>
        <v>BHV</v>
      </c>
    </row>
    <row r="321">
      <c r="A321" s="1" t="str">
        <f>IFERROR(__xludf.DUMMYFUNCTION("""COMPUTED_VALUE"""),"BHVN")</f>
        <v>BHVN</v>
      </c>
    </row>
    <row r="322">
      <c r="A322" s="1" t="str">
        <f>IFERROR(__xludf.DUMMYFUNCTION("""COMPUTED_VALUE"""),"BIF")</f>
        <v>BIF</v>
      </c>
    </row>
    <row r="323">
      <c r="A323" s="1" t="str">
        <f>IFERROR(__xludf.DUMMYFUNCTION("""COMPUTED_VALUE"""),"BIG")</f>
        <v>BIG</v>
      </c>
    </row>
    <row r="324">
      <c r="A324" s="1" t="str">
        <f>IFERROR(__xludf.DUMMYFUNCTION("""COMPUTED_VALUE"""),"BIGZ")</f>
        <v>BIGZ</v>
      </c>
    </row>
    <row r="325">
      <c r="A325" s="1" t="str">
        <f>IFERROR(__xludf.DUMMYFUNCTION("""COMPUTED_VALUE"""),"BILL")</f>
        <v>BILL</v>
      </c>
    </row>
    <row r="326">
      <c r="A326" s="1" t="str">
        <f>IFERROR(__xludf.DUMMYFUNCTION("""COMPUTED_VALUE"""),"BIO")</f>
        <v>BIO</v>
      </c>
    </row>
    <row r="327">
      <c r="A327" s="1" t="str">
        <f>IFERROR(__xludf.DUMMYFUNCTION("""COMPUTED_VALUE"""),"BIP")</f>
        <v>BIP</v>
      </c>
    </row>
    <row r="328">
      <c r="A328" s="1" t="str">
        <f>IFERROR(__xludf.DUMMYFUNCTION("""COMPUTED_VALUE"""),"BIPC")</f>
        <v>BIPC</v>
      </c>
    </row>
    <row r="329">
      <c r="A329" s="1" t="str">
        <f>IFERROR(__xludf.DUMMYFUNCTION("""COMPUTED_VALUE"""),"BIPH")</f>
        <v>BIPH</v>
      </c>
    </row>
    <row r="330">
      <c r="A330" s="1" t="str">
        <f>IFERROR(__xludf.DUMMYFUNCTION("""COMPUTED_VALUE"""),"BIT")</f>
        <v>BIT</v>
      </c>
    </row>
    <row r="331">
      <c r="A331" s="1" t="str">
        <f>IFERROR(__xludf.DUMMYFUNCTION("""COMPUTED_VALUE"""),"BITE")</f>
        <v>BITE</v>
      </c>
    </row>
    <row r="332">
      <c r="A332" s="1" t="str">
        <f>IFERROR(__xludf.DUMMYFUNCTION("""COMPUTED_VALUE"""),"BJ")</f>
        <v>BJ</v>
      </c>
    </row>
    <row r="333">
      <c r="A333" s="1" t="str">
        <f>IFERROR(__xludf.DUMMYFUNCTION("""COMPUTED_VALUE"""),"BK")</f>
        <v>BK</v>
      </c>
    </row>
    <row r="334">
      <c r="A334" s="1" t="str">
        <f>IFERROR(__xludf.DUMMYFUNCTION("""COMPUTED_VALUE"""),"BKD")</f>
        <v>BKD</v>
      </c>
    </row>
    <row r="335">
      <c r="A335" s="1" t="str">
        <f>IFERROR(__xludf.DUMMYFUNCTION("""COMPUTED_VALUE"""),"BKE")</f>
        <v>BKE</v>
      </c>
    </row>
    <row r="336">
      <c r="A336" s="1" t="str">
        <f>IFERROR(__xludf.DUMMYFUNCTION("""COMPUTED_VALUE"""),"BKH")</f>
        <v>BKH</v>
      </c>
    </row>
    <row r="337">
      <c r="A337" s="1" t="str">
        <f>IFERROR(__xludf.DUMMYFUNCTION("""COMPUTED_VALUE"""),"BKI")</f>
        <v>BKI</v>
      </c>
    </row>
    <row r="338">
      <c r="A338" s="1" t="str">
        <f>IFERROR(__xludf.DUMMYFUNCTION("""COMPUTED_VALUE"""),"BKN")</f>
        <v>BKN</v>
      </c>
    </row>
    <row r="339">
      <c r="A339" s="1" t="str">
        <f>IFERROR(__xludf.DUMMYFUNCTION("""COMPUTED_VALUE"""),"BKR")</f>
        <v>BKR</v>
      </c>
    </row>
    <row r="340">
      <c r="A340" s="1" t="str">
        <f>IFERROR(__xludf.DUMMYFUNCTION("""COMPUTED_VALUE"""),"BKT")</f>
        <v>BKT</v>
      </c>
    </row>
    <row r="341">
      <c r="A341" s="1" t="str">
        <f>IFERROR(__xludf.DUMMYFUNCTION("""COMPUTED_VALUE"""),"BKU")</f>
        <v>BKU</v>
      </c>
    </row>
    <row r="342">
      <c r="A342" s="1" t="str">
        <f>IFERROR(__xludf.DUMMYFUNCTION("""COMPUTED_VALUE"""),"BLD")</f>
        <v>BLD</v>
      </c>
    </row>
    <row r="343">
      <c r="A343" s="1" t="str">
        <f>IFERROR(__xludf.DUMMYFUNCTION("""COMPUTED_VALUE"""),"BLDR")</f>
        <v>BLDR</v>
      </c>
    </row>
    <row r="344">
      <c r="A344" s="1" t="str">
        <f>IFERROR(__xludf.DUMMYFUNCTION("""COMPUTED_VALUE"""),"BLE")</f>
        <v>BLE</v>
      </c>
    </row>
    <row r="345">
      <c r="A345" s="1" t="str">
        <f>IFERROR(__xludf.DUMMYFUNCTION("""COMPUTED_VALUE"""),"BLK")</f>
        <v>BLK</v>
      </c>
    </row>
    <row r="346">
      <c r="A346" s="1" t="str">
        <f>IFERROR(__xludf.DUMMYFUNCTION("""COMPUTED_VALUE"""),"BLL")</f>
        <v>BLL</v>
      </c>
    </row>
    <row r="347">
      <c r="A347" s="1" t="str">
        <f>IFERROR(__xludf.DUMMYFUNCTION("""COMPUTED_VALUE"""),"BLND")</f>
        <v>BLND</v>
      </c>
    </row>
    <row r="348">
      <c r="A348" s="1" t="str">
        <f>IFERROR(__xludf.DUMMYFUNCTION("""COMPUTED_VALUE"""),"BLUA")</f>
        <v>BLUA</v>
      </c>
    </row>
    <row r="349">
      <c r="A349" s="1" t="str">
        <f>IFERROR(__xludf.DUMMYFUNCTION("""COMPUTED_VALUE"""),"BLW")</f>
        <v>BLW</v>
      </c>
    </row>
    <row r="350">
      <c r="A350" s="1" t="str">
        <f>IFERROR(__xludf.DUMMYFUNCTION("""COMPUTED_VALUE"""),"BLX")</f>
        <v>BLX</v>
      </c>
    </row>
    <row r="351">
      <c r="A351" s="1" t="str">
        <f>IFERROR(__xludf.DUMMYFUNCTION("""COMPUTED_VALUE"""),"BMA")</f>
        <v>BMA</v>
      </c>
    </row>
    <row r="352">
      <c r="A352" s="1" t="str">
        <f>IFERROR(__xludf.DUMMYFUNCTION("""COMPUTED_VALUE"""),"BME")</f>
        <v>BME</v>
      </c>
    </row>
    <row r="353">
      <c r="A353" s="1" t="str">
        <f>IFERROR(__xludf.DUMMYFUNCTION("""COMPUTED_VALUE"""),"BMEZ")</f>
        <v>BMEZ</v>
      </c>
    </row>
    <row r="354">
      <c r="A354" s="1" t="str">
        <f>IFERROR(__xludf.DUMMYFUNCTION("""COMPUTED_VALUE"""),"BMI")</f>
        <v>BMI</v>
      </c>
    </row>
    <row r="355">
      <c r="A355" s="1" t="str">
        <f>IFERROR(__xludf.DUMMYFUNCTION("""COMPUTED_VALUE"""),"BMO")</f>
        <v>BMO</v>
      </c>
    </row>
    <row r="356">
      <c r="A356" s="1" t="str">
        <f>IFERROR(__xludf.DUMMYFUNCTION("""COMPUTED_VALUE"""),"BMY")</f>
        <v>BMY</v>
      </c>
    </row>
    <row r="357">
      <c r="A357" s="1" t="str">
        <f>IFERROR(__xludf.DUMMYFUNCTION("""COMPUTED_VALUE"""),"BNED")</f>
        <v>BNED</v>
      </c>
    </row>
    <row r="358">
      <c r="A358" s="1" t="str">
        <f>IFERROR(__xludf.DUMMYFUNCTION("""COMPUTED_VALUE"""),"BNL")</f>
        <v>BNL</v>
      </c>
    </row>
    <row r="359">
      <c r="A359" s="1" t="str">
        <f>IFERROR(__xludf.DUMMYFUNCTION("""COMPUTED_VALUE"""),"BNS")</f>
        <v>BNS</v>
      </c>
    </row>
    <row r="360">
      <c r="A360" s="1" t="str">
        <f>IFERROR(__xludf.DUMMYFUNCTION("""COMPUTED_VALUE"""),"BNY")</f>
        <v>BNY</v>
      </c>
    </row>
    <row r="361">
      <c r="A361" s="1" t="str">
        <f>IFERROR(__xludf.DUMMYFUNCTION("""COMPUTED_VALUE"""),"BOAC")</f>
        <v>BOAC</v>
      </c>
    </row>
    <row r="362">
      <c r="A362" s="1" t="str">
        <f>IFERROR(__xludf.DUMMYFUNCTION("""COMPUTED_VALUE"""),"BOAS")</f>
        <v>BOAS</v>
      </c>
    </row>
    <row r="363">
      <c r="A363" s="1" t="str">
        <f>IFERROR(__xludf.DUMMYFUNCTION("""COMPUTED_VALUE"""),"BODY")</f>
        <v>BODY</v>
      </c>
    </row>
    <row r="364">
      <c r="A364" s="1" t="str">
        <f>IFERROR(__xludf.DUMMYFUNCTION("""COMPUTED_VALUE"""),"BOE")</f>
        <v>BOE</v>
      </c>
    </row>
    <row r="365">
      <c r="A365" s="1" t="str">
        <f>IFERROR(__xludf.DUMMYFUNCTION("""COMPUTED_VALUE"""),"BOH")</f>
        <v>BOH</v>
      </c>
    </row>
    <row r="366">
      <c r="A366" s="1" t="str">
        <f>IFERROR(__xludf.DUMMYFUNCTION("""COMPUTED_VALUE"""),"BOOT")</f>
        <v>BOOT</v>
      </c>
    </row>
    <row r="367">
      <c r="A367" s="1" t="str">
        <f>IFERROR(__xludf.DUMMYFUNCTION("""COMPUTED_VALUE"""),"BORR")</f>
        <v>BORR</v>
      </c>
    </row>
    <row r="368">
      <c r="A368" s="1" t="str">
        <f>IFERROR(__xludf.DUMMYFUNCTION("""COMPUTED_VALUE"""),"BOX")</f>
        <v>BOX</v>
      </c>
    </row>
    <row r="369">
      <c r="A369" s="1" t="str">
        <f>IFERROR(__xludf.DUMMYFUNCTION("""COMPUTED_VALUE"""),"BP")</f>
        <v>BP</v>
      </c>
    </row>
    <row r="370">
      <c r="A370" s="1" t="str">
        <f>IFERROR(__xludf.DUMMYFUNCTION("""COMPUTED_VALUE"""),"BPMP")</f>
        <v>BPMP</v>
      </c>
    </row>
    <row r="371">
      <c r="A371" s="1" t="str">
        <f>IFERROR(__xludf.DUMMYFUNCTION("""COMPUTED_VALUE"""),"BPT")</f>
        <v>BPT</v>
      </c>
    </row>
    <row r="372">
      <c r="A372" s="1" t="str">
        <f>IFERROR(__xludf.DUMMYFUNCTION("""COMPUTED_VALUE"""),"BQ")</f>
        <v>BQ</v>
      </c>
    </row>
    <row r="373">
      <c r="A373" s="1" t="str">
        <f>IFERROR(__xludf.DUMMYFUNCTION("""COMPUTED_VALUE"""),"BR")</f>
        <v>BR</v>
      </c>
    </row>
    <row r="374">
      <c r="A374" s="1" t="str">
        <f>IFERROR(__xludf.DUMMYFUNCTION("""COMPUTED_VALUE"""),"BRBR")</f>
        <v>BRBR</v>
      </c>
    </row>
    <row r="375">
      <c r="A375" s="1" t="str">
        <f>IFERROR(__xludf.DUMMYFUNCTION("""COMPUTED_VALUE"""),"BRC")</f>
        <v>BRC</v>
      </c>
    </row>
    <row r="376">
      <c r="A376" s="1" t="str">
        <f>IFERROR(__xludf.DUMMYFUNCTION("""COMPUTED_VALUE"""),"BRDG")</f>
        <v>BRDG</v>
      </c>
    </row>
    <row r="377">
      <c r="A377" s="1" t="str">
        <f>IFERROR(__xludf.DUMMYFUNCTION("""COMPUTED_VALUE"""),"BRFS")</f>
        <v>BRFS</v>
      </c>
    </row>
    <row r="378">
      <c r="A378" s="1" t="str">
        <f>IFERROR(__xludf.DUMMYFUNCTION("""COMPUTED_VALUE"""),"BRMK")</f>
        <v>BRMK</v>
      </c>
    </row>
    <row r="379">
      <c r="A379" s="1" t="str">
        <f>IFERROR(__xludf.DUMMYFUNCTION("""COMPUTED_VALUE"""),"BRO")</f>
        <v>BRO</v>
      </c>
    </row>
    <row r="380">
      <c r="A380" s="1" t="str">
        <f>IFERROR(__xludf.DUMMYFUNCTION("""COMPUTED_VALUE"""),"BRSP")</f>
        <v>BRSP</v>
      </c>
    </row>
    <row r="381">
      <c r="A381" s="1" t="str">
        <f>IFERROR(__xludf.DUMMYFUNCTION("""COMPUTED_VALUE"""),"BRT")</f>
        <v>BRT</v>
      </c>
    </row>
    <row r="382">
      <c r="A382" s="1" t="str">
        <f>IFERROR(__xludf.DUMMYFUNCTION("""COMPUTED_VALUE"""),"BRW")</f>
        <v>BRW</v>
      </c>
    </row>
    <row r="383">
      <c r="A383" s="1" t="str">
        <f>IFERROR(__xludf.DUMMYFUNCTION("""COMPUTED_VALUE"""),"BRX")</f>
        <v>BRX</v>
      </c>
    </row>
    <row r="384">
      <c r="A384" s="1" t="str">
        <f>IFERROR(__xludf.DUMMYFUNCTION("""COMPUTED_VALUE"""),"BSA")</f>
        <v>BSA</v>
      </c>
    </row>
    <row r="385">
      <c r="A385" s="1" t="str">
        <f>IFERROR(__xludf.DUMMYFUNCTION("""COMPUTED_VALUE"""),"BSAC")</f>
        <v>BSAC</v>
      </c>
    </row>
    <row r="386">
      <c r="A386" s="1" t="str">
        <f>IFERROR(__xludf.DUMMYFUNCTION("""COMPUTED_VALUE"""),"BSBR")</f>
        <v>BSBR</v>
      </c>
    </row>
    <row r="387">
      <c r="A387" s="1" t="str">
        <f>IFERROR(__xludf.DUMMYFUNCTION("""COMPUTED_VALUE"""),"BSIG")</f>
        <v>BSIG</v>
      </c>
    </row>
    <row r="388">
      <c r="A388" s="1" t="str">
        <f>IFERROR(__xludf.DUMMYFUNCTION("""COMPUTED_VALUE"""),"BSL")</f>
        <v>BSL</v>
      </c>
    </row>
    <row r="389">
      <c r="A389" s="1" t="str">
        <f>IFERROR(__xludf.DUMMYFUNCTION("""COMPUTED_VALUE"""),"BSM")</f>
        <v>BSM</v>
      </c>
    </row>
    <row r="390">
      <c r="A390" s="1" t="str">
        <f>IFERROR(__xludf.DUMMYFUNCTION("""COMPUTED_VALUE"""),"BSMX")</f>
        <v>BSMX</v>
      </c>
    </row>
    <row r="391">
      <c r="A391" s="1" t="str">
        <f>IFERROR(__xludf.DUMMYFUNCTION("""COMPUTED_VALUE"""),"BSN")</f>
        <v>BSN</v>
      </c>
    </row>
    <row r="392">
      <c r="A392" s="1" t="str">
        <f>IFERROR(__xludf.DUMMYFUNCTION("""COMPUTED_VALUE"""),"BST")</f>
        <v>BST</v>
      </c>
    </row>
    <row r="393">
      <c r="A393" s="1" t="str">
        <f>IFERROR(__xludf.DUMMYFUNCTION("""COMPUTED_VALUE"""),"BSTZ")</f>
        <v>BSTZ</v>
      </c>
    </row>
    <row r="394">
      <c r="A394" s="1" t="str">
        <f>IFERROR(__xludf.DUMMYFUNCTION("""COMPUTED_VALUE"""),"BSX")</f>
        <v>BSX</v>
      </c>
    </row>
    <row r="395">
      <c r="A395" s="1" t="str">
        <f>IFERROR(__xludf.DUMMYFUNCTION("""COMPUTED_VALUE"""),"BTA")</f>
        <v>BTA</v>
      </c>
    </row>
    <row r="396">
      <c r="A396" s="1" t="str">
        <f>IFERROR(__xludf.DUMMYFUNCTION("""COMPUTED_VALUE"""),"BTCM")</f>
        <v>BTCM</v>
      </c>
    </row>
    <row r="397">
      <c r="A397" s="1" t="str">
        <f>IFERROR(__xludf.DUMMYFUNCTION("""COMPUTED_VALUE"""),"BTI")</f>
        <v>BTI</v>
      </c>
    </row>
    <row r="398">
      <c r="A398" s="1" t="str">
        <f>IFERROR(__xludf.DUMMYFUNCTION("""COMPUTED_VALUE"""),"BTO")</f>
        <v>BTO</v>
      </c>
    </row>
    <row r="399">
      <c r="A399" s="1" t="str">
        <f>IFERROR(__xludf.DUMMYFUNCTION("""COMPUTED_VALUE"""),"BTT")</f>
        <v>BTT</v>
      </c>
    </row>
    <row r="400">
      <c r="A400" s="1" t="str">
        <f>IFERROR(__xludf.DUMMYFUNCTION("""COMPUTED_VALUE"""),"BTU")</f>
        <v>BTU</v>
      </c>
    </row>
    <row r="401">
      <c r="A401" s="1" t="str">
        <f>IFERROR(__xludf.DUMMYFUNCTION("""COMPUTED_VALUE"""),"BTZ")</f>
        <v>BTZ</v>
      </c>
    </row>
    <row r="402">
      <c r="A402" s="1" t="str">
        <f>IFERROR(__xludf.DUMMYFUNCTION("""COMPUTED_VALUE"""),"BUD")</f>
        <v>BUD</v>
      </c>
    </row>
    <row r="403">
      <c r="A403" s="1" t="str">
        <f>IFERROR(__xludf.DUMMYFUNCTION("""COMPUTED_VALUE"""),"BUI")</f>
        <v>BUI</v>
      </c>
    </row>
    <row r="404">
      <c r="A404" s="1" t="str">
        <f>IFERROR(__xludf.DUMMYFUNCTION("""COMPUTED_VALUE"""),"BUR")</f>
        <v>BUR</v>
      </c>
    </row>
    <row r="405">
      <c r="A405" s="1" t="str">
        <f>IFERROR(__xludf.DUMMYFUNCTION("""COMPUTED_VALUE"""),"BURL")</f>
        <v>BURL</v>
      </c>
    </row>
    <row r="406">
      <c r="A406" s="1" t="str">
        <f>IFERROR(__xludf.DUMMYFUNCTION("""COMPUTED_VALUE"""),"BV")</f>
        <v>BV</v>
      </c>
    </row>
    <row r="407">
      <c r="A407" s="1" t="str">
        <f>IFERROR(__xludf.DUMMYFUNCTION("""COMPUTED_VALUE"""),"BVH")</f>
        <v>BVH</v>
      </c>
    </row>
    <row r="408">
      <c r="A408" s="1" t="str">
        <f>IFERROR(__xludf.DUMMYFUNCTION("""COMPUTED_VALUE"""),"BVN")</f>
        <v>BVN</v>
      </c>
    </row>
    <row r="409">
      <c r="A409" s="1" t="str">
        <f>IFERROR(__xludf.DUMMYFUNCTION("""COMPUTED_VALUE"""),"BW")</f>
        <v>BW</v>
      </c>
    </row>
    <row r="410">
      <c r="A410" s="1" t="str">
        <f>IFERROR(__xludf.DUMMYFUNCTION("""COMPUTED_VALUE"""),"BWA")</f>
        <v>BWA</v>
      </c>
    </row>
    <row r="411">
      <c r="A411" s="1" t="str">
        <f>IFERROR(__xludf.DUMMYFUNCTION("""COMPUTED_VALUE"""),"BWG")</f>
        <v>BWG</v>
      </c>
    </row>
    <row r="412">
      <c r="A412" s="1" t="str">
        <f>IFERROR(__xludf.DUMMYFUNCTION("""COMPUTED_VALUE"""),"BWSN")</f>
        <v>BWSN</v>
      </c>
    </row>
    <row r="413">
      <c r="A413" s="1" t="str">
        <f>IFERROR(__xludf.DUMMYFUNCTION("""COMPUTED_VALUE"""),"BWXT")</f>
        <v>BWXT</v>
      </c>
    </row>
    <row r="414">
      <c r="A414" s="1" t="str">
        <f>IFERROR(__xludf.DUMMYFUNCTION("""COMPUTED_VALUE"""),"BX")</f>
        <v>BX</v>
      </c>
    </row>
    <row r="415">
      <c r="A415" s="1" t="str">
        <f>IFERROR(__xludf.DUMMYFUNCTION("""COMPUTED_VALUE"""),"BXC")</f>
        <v>BXC</v>
      </c>
    </row>
    <row r="416">
      <c r="A416" s="1" t="str">
        <f>IFERROR(__xludf.DUMMYFUNCTION("""COMPUTED_VALUE"""),"BXMT")</f>
        <v>BXMT</v>
      </c>
    </row>
    <row r="417">
      <c r="A417" s="1" t="str">
        <f>IFERROR(__xludf.DUMMYFUNCTION("""COMPUTED_VALUE"""),"BXMX")</f>
        <v>BXMX</v>
      </c>
    </row>
    <row r="418">
      <c r="A418" s="1" t="str">
        <f>IFERROR(__xludf.DUMMYFUNCTION("""COMPUTED_VALUE"""),"BXP")</f>
        <v>BXP</v>
      </c>
    </row>
    <row r="419">
      <c r="A419" s="1" t="str">
        <f>IFERROR(__xludf.DUMMYFUNCTION("""COMPUTED_VALUE"""),"BXS")</f>
        <v>BXS</v>
      </c>
    </row>
    <row r="420">
      <c r="A420" s="1" t="str">
        <f>IFERROR(__xludf.DUMMYFUNCTION("""COMPUTED_VALUE"""),"BY")</f>
        <v>BY</v>
      </c>
    </row>
    <row r="421">
      <c r="A421" s="1" t="str">
        <f>IFERROR(__xludf.DUMMYFUNCTION("""COMPUTED_VALUE"""),"BYD")</f>
        <v>BYD</v>
      </c>
    </row>
    <row r="422">
      <c r="A422" s="1" t="str">
        <f>IFERROR(__xludf.DUMMYFUNCTION("""COMPUTED_VALUE"""),"BYM")</f>
        <v>BYM</v>
      </c>
    </row>
    <row r="423">
      <c r="A423" s="1" t="str">
        <f>IFERROR(__xludf.DUMMYFUNCTION("""COMPUTED_VALUE"""),"BZH")</f>
        <v>BZH</v>
      </c>
    </row>
    <row r="424">
      <c r="A424" s="1" t="str">
        <f>IFERROR(__xludf.DUMMYFUNCTION("""COMPUTED_VALUE"""),"C")</f>
        <v>C</v>
      </c>
    </row>
    <row r="425">
      <c r="A425" s="1" t="str">
        <f>IFERROR(__xludf.DUMMYFUNCTION("""COMPUTED_VALUE"""),"CAAP")</f>
        <v>CAAP</v>
      </c>
    </row>
    <row r="426">
      <c r="A426" s="1" t="str">
        <f>IFERROR(__xludf.DUMMYFUNCTION("""COMPUTED_VALUE"""),"CABO")</f>
        <v>CABO</v>
      </c>
    </row>
    <row r="427">
      <c r="A427" s="1" t="str">
        <f>IFERROR(__xludf.DUMMYFUNCTION("""COMPUTED_VALUE"""),"CACI")</f>
        <v>CACI</v>
      </c>
    </row>
    <row r="428">
      <c r="A428" s="1" t="str">
        <f>IFERROR(__xludf.DUMMYFUNCTION("""COMPUTED_VALUE"""),"CADE")</f>
        <v>CADE</v>
      </c>
    </row>
    <row r="429">
      <c r="A429" s="1" t="str">
        <f>IFERROR(__xludf.DUMMYFUNCTION("""COMPUTED_VALUE"""),"CAE")</f>
        <v>CAE</v>
      </c>
    </row>
    <row r="430">
      <c r="A430" s="1" t="str">
        <f>IFERROR(__xludf.DUMMYFUNCTION("""COMPUTED_VALUE"""),"CAF")</f>
        <v>CAF</v>
      </c>
    </row>
    <row r="431">
      <c r="A431" s="1" t="str">
        <f>IFERROR(__xludf.DUMMYFUNCTION("""COMPUTED_VALUE"""),"CAG")</f>
        <v>CAG</v>
      </c>
    </row>
    <row r="432">
      <c r="A432" s="1" t="str">
        <f>IFERROR(__xludf.DUMMYFUNCTION("""COMPUTED_VALUE"""),"CAH")</f>
        <v>CAH</v>
      </c>
    </row>
    <row r="433">
      <c r="A433" s="1" t="str">
        <f>IFERROR(__xludf.DUMMYFUNCTION("""COMPUTED_VALUE"""),"CAI")</f>
        <v>CAI</v>
      </c>
    </row>
    <row r="434">
      <c r="A434" s="1" t="str">
        <f>IFERROR(__xludf.DUMMYFUNCTION("""COMPUTED_VALUE"""),"CAJ")</f>
        <v>CAJ</v>
      </c>
    </row>
    <row r="435">
      <c r="A435" s="1" t="str">
        <f>IFERROR(__xludf.DUMMYFUNCTION("""COMPUTED_VALUE"""),"CAL")</f>
        <v>CAL</v>
      </c>
    </row>
    <row r="436">
      <c r="A436" s="1" t="str">
        <f>IFERROR(__xludf.DUMMYFUNCTION("""COMPUTED_VALUE"""),"CALX")</f>
        <v>CALX</v>
      </c>
    </row>
    <row r="437">
      <c r="A437" s="1" t="str">
        <f>IFERROR(__xludf.DUMMYFUNCTION("""COMPUTED_VALUE"""),"CANG")</f>
        <v>CANG</v>
      </c>
    </row>
    <row r="438">
      <c r="A438" s="1" t="str">
        <f>IFERROR(__xludf.DUMMYFUNCTION("""COMPUTED_VALUE"""),"CANO")</f>
        <v>CANO</v>
      </c>
    </row>
    <row r="439">
      <c r="A439" s="1" t="str">
        <f>IFERROR(__xludf.DUMMYFUNCTION("""COMPUTED_VALUE"""),"CAPL")</f>
        <v>CAPL</v>
      </c>
    </row>
    <row r="440">
      <c r="A440" s="1" t="str">
        <f>IFERROR(__xludf.DUMMYFUNCTION("""COMPUTED_VALUE"""),"CARR")</f>
        <v>CARR</v>
      </c>
    </row>
    <row r="441">
      <c r="A441" s="1" t="str">
        <f>IFERROR(__xludf.DUMMYFUNCTION("""COMPUTED_VALUE"""),"CARS")</f>
        <v>CARS</v>
      </c>
    </row>
    <row r="442">
      <c r="A442" s="1" t="str">
        <f>IFERROR(__xludf.DUMMYFUNCTION("""COMPUTED_VALUE"""),"CAS")</f>
        <v>CAS</v>
      </c>
    </row>
    <row r="443">
      <c r="A443" s="1" t="str">
        <f>IFERROR(__xludf.DUMMYFUNCTION("""COMPUTED_VALUE"""),"CAT")</f>
        <v>CAT</v>
      </c>
    </row>
    <row r="444">
      <c r="A444" s="1" t="str">
        <f>IFERROR(__xludf.DUMMYFUNCTION("""COMPUTED_VALUE"""),"CATO")</f>
        <v>CATO</v>
      </c>
    </row>
    <row r="445">
      <c r="A445" s="1" t="str">
        <f>IFERROR(__xludf.DUMMYFUNCTION("""COMPUTED_VALUE"""),"CB")</f>
        <v>CB</v>
      </c>
    </row>
    <row r="446">
      <c r="A446" s="1" t="str">
        <f>IFERROR(__xludf.DUMMYFUNCTION("""COMPUTED_VALUE"""),"CBAH")</f>
        <v>CBAH</v>
      </c>
    </row>
    <row r="447">
      <c r="A447" s="1" t="str">
        <f>IFERROR(__xludf.DUMMYFUNCTION("""COMPUTED_VALUE"""),"CBB")</f>
        <v>CBB</v>
      </c>
    </row>
    <row r="448">
      <c r="A448" s="1" t="str">
        <f>IFERROR(__xludf.DUMMYFUNCTION("""COMPUTED_VALUE"""),"CBD")</f>
        <v>CBD</v>
      </c>
    </row>
    <row r="449">
      <c r="A449" s="1" t="str">
        <f>IFERROR(__xludf.DUMMYFUNCTION("""COMPUTED_VALUE"""),"CBH")</f>
        <v>CBH</v>
      </c>
    </row>
    <row r="450">
      <c r="A450" s="1" t="str">
        <f>IFERROR(__xludf.DUMMYFUNCTION("""COMPUTED_VALUE"""),"CBRE")</f>
        <v>CBRE</v>
      </c>
    </row>
    <row r="451">
      <c r="A451" s="1" t="str">
        <f>IFERROR(__xludf.DUMMYFUNCTION("""COMPUTED_VALUE"""),"CBT")</f>
        <v>CBT</v>
      </c>
    </row>
    <row r="452">
      <c r="A452" s="1" t="str">
        <f>IFERROR(__xludf.DUMMYFUNCTION("""COMPUTED_VALUE"""),"CBU")</f>
        <v>CBU</v>
      </c>
    </row>
    <row r="453">
      <c r="A453" s="1" t="str">
        <f>IFERROR(__xludf.DUMMYFUNCTION("""COMPUTED_VALUE"""),"CBZ")</f>
        <v>CBZ</v>
      </c>
    </row>
    <row r="454">
      <c r="A454" s="1" t="str">
        <f>IFERROR(__xludf.DUMMYFUNCTION("""COMPUTED_VALUE"""),"CC")</f>
        <v>CC</v>
      </c>
    </row>
    <row r="455">
      <c r="A455" s="1" t="str">
        <f>IFERROR(__xludf.DUMMYFUNCTION("""COMPUTED_VALUE"""),"CCAC")</f>
        <v>CCAC</v>
      </c>
    </row>
    <row r="456">
      <c r="A456" s="1" t="str">
        <f>IFERROR(__xludf.DUMMYFUNCTION("""COMPUTED_VALUE"""),"CCCS")</f>
        <v>CCCS</v>
      </c>
    </row>
    <row r="457">
      <c r="A457" s="1" t="str">
        <f>IFERROR(__xludf.DUMMYFUNCTION("""COMPUTED_VALUE"""),"CCEP")</f>
        <v>CCEP</v>
      </c>
    </row>
    <row r="458">
      <c r="A458" s="1" t="str">
        <f>IFERROR(__xludf.DUMMYFUNCTION("""COMPUTED_VALUE"""),"CCI")</f>
        <v>CCI</v>
      </c>
    </row>
    <row r="459">
      <c r="A459" s="1" t="str">
        <f>IFERROR(__xludf.DUMMYFUNCTION("""COMPUTED_VALUE"""),"CCJ")</f>
        <v>CCJ</v>
      </c>
    </row>
    <row r="460">
      <c r="A460" s="1" t="str">
        <f>IFERROR(__xludf.DUMMYFUNCTION("""COMPUTED_VALUE"""),"CCK")</f>
        <v>CCK</v>
      </c>
    </row>
    <row r="461">
      <c r="A461" s="1" t="str">
        <f>IFERROR(__xludf.DUMMYFUNCTION("""COMPUTED_VALUE"""),"CCL")</f>
        <v>CCL</v>
      </c>
    </row>
    <row r="462">
      <c r="A462" s="1" t="str">
        <f>IFERROR(__xludf.DUMMYFUNCTION("""COMPUTED_VALUE"""),"CCM")</f>
        <v>CCM</v>
      </c>
    </row>
    <row r="463">
      <c r="A463" s="1" t="str">
        <f>IFERROR(__xludf.DUMMYFUNCTION("""COMPUTED_VALUE"""),"CCO")</f>
        <v>CCO</v>
      </c>
    </row>
    <row r="464">
      <c r="A464" s="1" t="str">
        <f>IFERROR(__xludf.DUMMYFUNCTION("""COMPUTED_VALUE"""),"CCS")</f>
        <v>CCS</v>
      </c>
    </row>
    <row r="465">
      <c r="A465" s="1" t="str">
        <f>IFERROR(__xludf.DUMMYFUNCTION("""COMPUTED_VALUE"""),"CCU")</f>
        <v>CCU</v>
      </c>
    </row>
    <row r="466">
      <c r="A466" s="1" t="str">
        <f>IFERROR(__xludf.DUMMYFUNCTION("""COMPUTED_VALUE"""),"CCV")</f>
        <v>CCV</v>
      </c>
    </row>
    <row r="467">
      <c r="A467" s="1" t="str">
        <f>IFERROR(__xludf.DUMMYFUNCTION("""COMPUTED_VALUE"""),"CCVI")</f>
        <v>CCVI</v>
      </c>
    </row>
    <row r="468">
      <c r="A468" s="1" t="str">
        <f>IFERROR(__xludf.DUMMYFUNCTION("""COMPUTED_VALUE"""),"CCZ")</f>
        <v>CCZ</v>
      </c>
    </row>
    <row r="469">
      <c r="A469" s="1" t="str">
        <f>IFERROR(__xludf.DUMMYFUNCTION("""COMPUTED_VALUE"""),"CDAY")</f>
        <v>CDAY</v>
      </c>
    </row>
    <row r="470">
      <c r="A470" s="1" t="str">
        <f>IFERROR(__xludf.DUMMYFUNCTION("""COMPUTED_VALUE"""),"CDE")</f>
        <v>CDE</v>
      </c>
    </row>
    <row r="471">
      <c r="A471" s="1" t="str">
        <f>IFERROR(__xludf.DUMMYFUNCTION("""COMPUTED_VALUE"""),"CDR")</f>
        <v>CDR</v>
      </c>
    </row>
    <row r="472">
      <c r="A472" s="1" t="str">
        <f>IFERROR(__xludf.DUMMYFUNCTION("""COMPUTED_VALUE"""),"CE")</f>
        <v>CE</v>
      </c>
    </row>
    <row r="473">
      <c r="A473" s="1" t="str">
        <f>IFERROR(__xludf.DUMMYFUNCTION("""COMPUTED_VALUE"""),"CEA")</f>
        <v>CEA</v>
      </c>
    </row>
    <row r="474">
      <c r="A474" s="1" t="str">
        <f>IFERROR(__xludf.DUMMYFUNCTION("""COMPUTED_VALUE"""),"CEE")</f>
        <v>CEE</v>
      </c>
    </row>
    <row r="475">
      <c r="A475" s="1" t="str">
        <f>IFERROR(__xludf.DUMMYFUNCTION("""COMPUTED_VALUE"""),"CEIX")</f>
        <v>CEIX</v>
      </c>
    </row>
    <row r="476">
      <c r="A476" s="1" t="str">
        <f>IFERROR(__xludf.DUMMYFUNCTION("""COMPUTED_VALUE"""),"CELP")</f>
        <v>CELP</v>
      </c>
    </row>
    <row r="477">
      <c r="A477" s="1" t="str">
        <f>IFERROR(__xludf.DUMMYFUNCTION("""COMPUTED_VALUE"""),"CEM")</f>
        <v>CEM</v>
      </c>
    </row>
    <row r="478">
      <c r="A478" s="1" t="str">
        <f>IFERROR(__xludf.DUMMYFUNCTION("""COMPUTED_VALUE"""),"CEN")</f>
        <v>CEN</v>
      </c>
    </row>
    <row r="479">
      <c r="A479" s="1" t="str">
        <f>IFERROR(__xludf.DUMMYFUNCTION("""COMPUTED_VALUE"""),"CEPU")</f>
        <v>CEPU</v>
      </c>
    </row>
    <row r="480">
      <c r="A480" s="1" t="str">
        <f>IFERROR(__xludf.DUMMYFUNCTION("""COMPUTED_VALUE"""),"CEQP")</f>
        <v>CEQP</v>
      </c>
    </row>
    <row r="481">
      <c r="A481" s="1" t="str">
        <f>IFERROR(__xludf.DUMMYFUNCTION("""COMPUTED_VALUE"""),"CF")</f>
        <v>CF</v>
      </c>
    </row>
    <row r="482">
      <c r="A482" s="1" t="str">
        <f>IFERROR(__xludf.DUMMYFUNCTION("""COMPUTED_VALUE"""),"CFG")</f>
        <v>CFG</v>
      </c>
    </row>
    <row r="483">
      <c r="A483" s="1" t="str">
        <f>IFERROR(__xludf.DUMMYFUNCTION("""COMPUTED_VALUE"""),"CFR")</f>
        <v>CFR</v>
      </c>
    </row>
    <row r="484">
      <c r="A484" s="1" t="str">
        <f>IFERROR(__xludf.DUMMYFUNCTION("""COMPUTED_VALUE"""),"CFX")</f>
        <v>CFX</v>
      </c>
    </row>
    <row r="485">
      <c r="A485" s="1" t="str">
        <f>IFERROR(__xludf.DUMMYFUNCTION("""COMPUTED_VALUE"""),"CFXA")</f>
        <v>CFXA</v>
      </c>
    </row>
    <row r="486">
      <c r="A486" s="1" t="str">
        <f>IFERROR(__xludf.DUMMYFUNCTION("""COMPUTED_VALUE"""),"CGA")</f>
        <v>CGA</v>
      </c>
    </row>
    <row r="487">
      <c r="A487" s="1" t="str">
        <f>IFERROR(__xludf.DUMMYFUNCTION("""COMPUTED_VALUE"""),"CGAU")</f>
        <v>CGAU</v>
      </c>
    </row>
    <row r="488">
      <c r="A488" s="1" t="str">
        <f>IFERROR(__xludf.DUMMYFUNCTION("""COMPUTED_VALUE"""),"CHAA")</f>
        <v>CHAA</v>
      </c>
    </row>
    <row r="489">
      <c r="A489" s="1" t="str">
        <f>IFERROR(__xludf.DUMMYFUNCTION("""COMPUTED_VALUE"""),"CHCT")</f>
        <v>CHCT</v>
      </c>
    </row>
    <row r="490">
      <c r="A490" s="1" t="str">
        <f>IFERROR(__xludf.DUMMYFUNCTION("""COMPUTED_VALUE"""),"CHD")</f>
        <v>CHD</v>
      </c>
    </row>
    <row r="491">
      <c r="A491" s="1" t="str">
        <f>IFERROR(__xludf.DUMMYFUNCTION("""COMPUTED_VALUE"""),"CHE")</f>
        <v>CHE</v>
      </c>
    </row>
    <row r="492">
      <c r="A492" s="1" t="str">
        <f>IFERROR(__xludf.DUMMYFUNCTION("""COMPUTED_VALUE"""),"CHGG")</f>
        <v>CHGG</v>
      </c>
    </row>
    <row r="493">
      <c r="A493" s="1" t="str">
        <f>IFERROR(__xludf.DUMMYFUNCTION("""COMPUTED_VALUE"""),"CHH")</f>
        <v>CHH</v>
      </c>
    </row>
    <row r="494">
      <c r="A494" s="1" t="str">
        <f>IFERROR(__xludf.DUMMYFUNCTION("""COMPUTED_VALUE"""),"CHMI")</f>
        <v>CHMI</v>
      </c>
    </row>
    <row r="495">
      <c r="A495" s="1" t="str">
        <f>IFERROR(__xludf.DUMMYFUNCTION("""COMPUTED_VALUE"""),"CHN")</f>
        <v>CHN</v>
      </c>
    </row>
    <row r="496">
      <c r="A496" s="1" t="str">
        <f>IFERROR(__xludf.DUMMYFUNCTION("""COMPUTED_VALUE"""),"CHPT")</f>
        <v>CHPT</v>
      </c>
    </row>
    <row r="497">
      <c r="A497" s="1" t="str">
        <f>IFERROR(__xludf.DUMMYFUNCTION("""COMPUTED_VALUE"""),"CHRA")</f>
        <v>CHRA</v>
      </c>
    </row>
    <row r="498">
      <c r="A498" s="1" t="str">
        <f>IFERROR(__xludf.DUMMYFUNCTION("""COMPUTED_VALUE"""),"CHS")</f>
        <v>CHS</v>
      </c>
    </row>
    <row r="499">
      <c r="A499" s="1" t="str">
        <f>IFERROR(__xludf.DUMMYFUNCTION("""COMPUTED_VALUE"""),"CHT")</f>
        <v>CHT</v>
      </c>
    </row>
    <row r="500">
      <c r="A500" s="1" t="str">
        <f>IFERROR(__xludf.DUMMYFUNCTION("""COMPUTED_VALUE"""),"CHWY")</f>
        <v>CHWY</v>
      </c>
    </row>
    <row r="501">
      <c r="A501" s="1" t="str">
        <f>IFERROR(__xludf.DUMMYFUNCTION("""COMPUTED_VALUE"""),"CI")</f>
        <v>CI</v>
      </c>
    </row>
    <row r="502">
      <c r="A502" s="1" t="str">
        <f>IFERROR(__xludf.DUMMYFUNCTION("""COMPUTED_VALUE"""),"CIA")</f>
        <v>CIA</v>
      </c>
    </row>
    <row r="503">
      <c r="A503" s="1" t="str">
        <f>IFERROR(__xludf.DUMMYFUNCTION("""COMPUTED_VALUE"""),"CIB")</f>
        <v>CIB</v>
      </c>
    </row>
    <row r="504">
      <c r="A504" s="1" t="str">
        <f>IFERROR(__xludf.DUMMYFUNCTION("""COMPUTED_VALUE"""),"CIEN")</f>
        <v>CIEN</v>
      </c>
    </row>
    <row r="505">
      <c r="A505" s="1" t="str">
        <f>IFERROR(__xludf.DUMMYFUNCTION("""COMPUTED_VALUE"""),"CIF")</f>
        <v>CIF</v>
      </c>
    </row>
    <row r="506">
      <c r="A506" s="1" t="str">
        <f>IFERROR(__xludf.DUMMYFUNCTION("""COMPUTED_VALUE"""),"CIG")</f>
        <v>CIG</v>
      </c>
    </row>
    <row r="507">
      <c r="A507" s="1" t="str">
        <f>IFERROR(__xludf.DUMMYFUNCTION("""COMPUTED_VALUE"""),"CII")</f>
        <v>CII</v>
      </c>
    </row>
    <row r="508">
      <c r="A508" s="1" t="str">
        <f>IFERROR(__xludf.DUMMYFUNCTION("""COMPUTED_VALUE"""),"CIM")</f>
        <v>CIM</v>
      </c>
    </row>
    <row r="509">
      <c r="A509" s="1" t="str">
        <f>IFERROR(__xludf.DUMMYFUNCTION("""COMPUTED_VALUE"""),"CINR")</f>
        <v>CINR</v>
      </c>
    </row>
    <row r="510">
      <c r="A510" s="1" t="str">
        <f>IFERROR(__xludf.DUMMYFUNCTION("""COMPUTED_VALUE"""),"CIO")</f>
        <v>CIO</v>
      </c>
    </row>
    <row r="511">
      <c r="A511" s="1" t="str">
        <f>IFERROR(__xludf.DUMMYFUNCTION("""COMPUTED_VALUE"""),"CIR")</f>
        <v>CIR</v>
      </c>
    </row>
    <row r="512">
      <c r="A512" s="1" t="str">
        <f>IFERROR(__xludf.DUMMYFUNCTION("""COMPUTED_VALUE"""),"CIT")</f>
        <v>CIT</v>
      </c>
    </row>
    <row r="513">
      <c r="A513" s="1" t="str">
        <f>IFERROR(__xludf.DUMMYFUNCTION("""COMPUTED_VALUE"""),"CIXX")</f>
        <v>CIXX</v>
      </c>
    </row>
    <row r="514">
      <c r="A514" s="1" t="str">
        <f>IFERROR(__xludf.DUMMYFUNCTION("""COMPUTED_VALUE"""),"CL")</f>
        <v>CL</v>
      </c>
    </row>
    <row r="515">
      <c r="A515" s="1" t="str">
        <f>IFERROR(__xludf.DUMMYFUNCTION("""COMPUTED_VALUE"""),"CLAA")</f>
        <v>CLAA</v>
      </c>
    </row>
    <row r="516">
      <c r="A516" s="1" t="str">
        <f>IFERROR(__xludf.DUMMYFUNCTION("""COMPUTED_VALUE"""),"CLAS")</f>
        <v>CLAS</v>
      </c>
    </row>
    <row r="517">
      <c r="A517" s="1" t="str">
        <f>IFERROR(__xludf.DUMMYFUNCTION("""COMPUTED_VALUE"""),"CLB")</f>
        <v>CLB</v>
      </c>
    </row>
    <row r="518">
      <c r="A518" s="1" t="str">
        <f>IFERROR(__xludf.DUMMYFUNCTION("""COMPUTED_VALUE"""),"CLBR")</f>
        <v>CLBR</v>
      </c>
    </row>
    <row r="519">
      <c r="A519" s="1" t="str">
        <f>IFERROR(__xludf.DUMMYFUNCTION("""COMPUTED_VALUE"""),"CLDR")</f>
        <v>CLDR</v>
      </c>
    </row>
    <row r="520">
      <c r="A520" s="1" t="str">
        <f>IFERROR(__xludf.DUMMYFUNCTION("""COMPUTED_VALUE"""),"CLDT")</f>
        <v>CLDT</v>
      </c>
    </row>
    <row r="521">
      <c r="A521" s="1" t="str">
        <f>IFERROR(__xludf.DUMMYFUNCTION("""COMPUTED_VALUE"""),"CLF")</f>
        <v>CLF</v>
      </c>
    </row>
    <row r="522">
      <c r="A522" s="1" t="str">
        <f>IFERROR(__xludf.DUMMYFUNCTION("""COMPUTED_VALUE"""),"CLH")</f>
        <v>CLH</v>
      </c>
    </row>
    <row r="523">
      <c r="A523" s="1" t="str">
        <f>IFERROR(__xludf.DUMMYFUNCTION("""COMPUTED_VALUE"""),"CLI")</f>
        <v>CLI</v>
      </c>
    </row>
    <row r="524">
      <c r="A524" s="1" t="str">
        <f>IFERROR(__xludf.DUMMYFUNCTION("""COMPUTED_VALUE"""),"CLIM")</f>
        <v>CLIM</v>
      </c>
    </row>
    <row r="525">
      <c r="A525" s="1" t="str">
        <f>IFERROR(__xludf.DUMMYFUNCTION("""COMPUTED_VALUE"""),"CLPR")</f>
        <v>CLPR</v>
      </c>
    </row>
    <row r="526">
      <c r="A526" s="1" t="str">
        <f>IFERROR(__xludf.DUMMYFUNCTION("""COMPUTED_VALUE"""),"CLR")</f>
        <v>CLR</v>
      </c>
    </row>
    <row r="527">
      <c r="A527" s="1" t="str">
        <f>IFERROR(__xludf.DUMMYFUNCTION("""COMPUTED_VALUE"""),"CLS")</f>
        <v>CLS</v>
      </c>
    </row>
    <row r="528">
      <c r="A528" s="1" t="str">
        <f>IFERROR(__xludf.DUMMYFUNCTION("""COMPUTED_VALUE"""),"CLVT")</f>
        <v>CLVT</v>
      </c>
    </row>
    <row r="529">
      <c r="A529" s="1" t="str">
        <f>IFERROR(__xludf.DUMMYFUNCTION("""COMPUTED_VALUE"""),"CLW")</f>
        <v>CLW</v>
      </c>
    </row>
    <row r="530">
      <c r="A530" s="1" t="str">
        <f>IFERROR(__xludf.DUMMYFUNCTION("""COMPUTED_VALUE"""),"CLX")</f>
        <v>CLX</v>
      </c>
    </row>
    <row r="531">
      <c r="A531" s="1" t="str">
        <f>IFERROR(__xludf.DUMMYFUNCTION("""COMPUTED_VALUE"""),"CM")</f>
        <v>CM</v>
      </c>
    </row>
    <row r="532">
      <c r="A532" s="1" t="str">
        <f>IFERROR(__xludf.DUMMYFUNCTION("""COMPUTED_VALUE"""),"CMA")</f>
        <v>CMA</v>
      </c>
    </row>
    <row r="533">
      <c r="A533" s="1" t="str">
        <f>IFERROR(__xludf.DUMMYFUNCTION("""COMPUTED_VALUE"""),"CMC")</f>
        <v>CMC</v>
      </c>
    </row>
    <row r="534">
      <c r="A534" s="1" t="str">
        <f>IFERROR(__xludf.DUMMYFUNCTION("""COMPUTED_VALUE"""),"CMCM")</f>
        <v>CMCM</v>
      </c>
    </row>
    <row r="535">
      <c r="A535" s="1" t="str">
        <f>IFERROR(__xludf.DUMMYFUNCTION("""COMPUTED_VALUE"""),"CMG")</f>
        <v>CMG</v>
      </c>
    </row>
    <row r="536">
      <c r="A536" s="1" t="str">
        <f>IFERROR(__xludf.DUMMYFUNCTION("""COMPUTED_VALUE"""),"CMI")</f>
        <v>CMI</v>
      </c>
    </row>
    <row r="537">
      <c r="A537" s="1" t="str">
        <f>IFERROR(__xludf.DUMMYFUNCTION("""COMPUTED_VALUE"""),"CMO")</f>
        <v>CMO</v>
      </c>
    </row>
    <row r="538">
      <c r="A538" s="1" t="str">
        <f>IFERROR(__xludf.DUMMYFUNCTION("""COMPUTED_VALUE"""),"CMP")</f>
        <v>CMP</v>
      </c>
    </row>
    <row r="539">
      <c r="A539" s="1" t="str">
        <f>IFERROR(__xludf.DUMMYFUNCTION("""COMPUTED_VALUE"""),"CMRE")</f>
        <v>CMRE</v>
      </c>
    </row>
    <row r="540">
      <c r="A540" s="1" t="str">
        <f>IFERROR(__xludf.DUMMYFUNCTION("""COMPUTED_VALUE"""),"CMS")</f>
        <v>CMS</v>
      </c>
    </row>
    <row r="541">
      <c r="A541" s="1" t="str">
        <f>IFERROR(__xludf.DUMMYFUNCTION("""COMPUTED_VALUE"""),"CMSA")</f>
        <v>CMSA</v>
      </c>
    </row>
    <row r="542">
      <c r="A542" s="1" t="str">
        <f>IFERROR(__xludf.DUMMYFUNCTION("""COMPUTED_VALUE"""),"CMSC")</f>
        <v>CMSC</v>
      </c>
    </row>
    <row r="543">
      <c r="A543" s="1" t="str">
        <f>IFERROR(__xludf.DUMMYFUNCTION("""COMPUTED_VALUE"""),"CMSD")</f>
        <v>CMSD</v>
      </c>
    </row>
    <row r="544">
      <c r="A544" s="1" t="str">
        <f>IFERROR(__xludf.DUMMYFUNCTION("""COMPUTED_VALUE"""),"CMU")</f>
        <v>CMU</v>
      </c>
    </row>
    <row r="545">
      <c r="A545" s="1" t="str">
        <f>IFERROR(__xludf.DUMMYFUNCTION("""COMPUTED_VALUE"""),"CNA")</f>
        <v>CNA</v>
      </c>
    </row>
    <row r="546">
      <c r="A546" s="1" t="str">
        <f>IFERROR(__xludf.DUMMYFUNCTION("""COMPUTED_VALUE"""),"CNC")</f>
        <v>CNC</v>
      </c>
    </row>
    <row r="547">
      <c r="A547" s="1" t="str">
        <f>IFERROR(__xludf.DUMMYFUNCTION("""COMPUTED_VALUE"""),"CND")</f>
        <v>CND</v>
      </c>
    </row>
    <row r="548">
      <c r="A548" s="1" t="str">
        <f>IFERROR(__xludf.DUMMYFUNCTION("""COMPUTED_VALUE"""),"CNF")</f>
        <v>CNF</v>
      </c>
    </row>
    <row r="549">
      <c r="A549" s="1" t="str">
        <f>IFERROR(__xludf.DUMMYFUNCTION("""COMPUTED_VALUE"""),"CNHI")</f>
        <v>CNHI</v>
      </c>
    </row>
    <row r="550">
      <c r="A550" s="1" t="str">
        <f>IFERROR(__xludf.DUMMYFUNCTION("""COMPUTED_VALUE"""),"CNI")</f>
        <v>CNI</v>
      </c>
    </row>
    <row r="551">
      <c r="A551" s="1" t="str">
        <f>IFERROR(__xludf.DUMMYFUNCTION("""COMPUTED_VALUE"""),"CNK")</f>
        <v>CNK</v>
      </c>
    </row>
    <row r="552">
      <c r="A552" s="1" t="str">
        <f>IFERROR(__xludf.DUMMYFUNCTION("""COMPUTED_VALUE"""),"CNM")</f>
        <v>CNM</v>
      </c>
    </row>
    <row r="553">
      <c r="A553" s="1" t="str">
        <f>IFERROR(__xludf.DUMMYFUNCTION("""COMPUTED_VALUE"""),"CNMD")</f>
        <v>CNMD</v>
      </c>
    </row>
    <row r="554">
      <c r="A554" s="1" t="str">
        <f>IFERROR(__xludf.DUMMYFUNCTION("""COMPUTED_VALUE"""),"CNNE")</f>
        <v>CNNE</v>
      </c>
    </row>
    <row r="555">
      <c r="A555" s="1" t="str">
        <f>IFERROR(__xludf.DUMMYFUNCTION("""COMPUTED_VALUE"""),"CNO")</f>
        <v>CNO</v>
      </c>
    </row>
    <row r="556">
      <c r="A556" s="1" t="str">
        <f>IFERROR(__xludf.DUMMYFUNCTION("""COMPUTED_VALUE"""),"CNP")</f>
        <v>CNP</v>
      </c>
    </row>
    <row r="557">
      <c r="A557" s="1" t="str">
        <f>IFERROR(__xludf.DUMMYFUNCTION("""COMPUTED_VALUE"""),"CNQ")</f>
        <v>CNQ</v>
      </c>
    </row>
    <row r="558">
      <c r="A558" s="1" t="str">
        <f>IFERROR(__xludf.DUMMYFUNCTION("""COMPUTED_VALUE"""),"CNR")</f>
        <v>CNR</v>
      </c>
    </row>
    <row r="559">
      <c r="A559" s="1" t="str">
        <f>IFERROR(__xludf.DUMMYFUNCTION("""COMPUTED_VALUE"""),"CNS")</f>
        <v>CNS</v>
      </c>
    </row>
    <row r="560">
      <c r="A560" s="1" t="str">
        <f>IFERROR(__xludf.DUMMYFUNCTION("""COMPUTED_VALUE"""),"CNVY")</f>
        <v>CNVY</v>
      </c>
    </row>
    <row r="561">
      <c r="A561" s="1" t="str">
        <f>IFERROR(__xludf.DUMMYFUNCTION("""COMPUTED_VALUE"""),"CNX")</f>
        <v>CNX</v>
      </c>
    </row>
    <row r="562">
      <c r="A562" s="1" t="str">
        <f>IFERROR(__xludf.DUMMYFUNCTION("""COMPUTED_VALUE"""),"CO")</f>
        <v>CO</v>
      </c>
    </row>
    <row r="563">
      <c r="A563" s="1" t="str">
        <f>IFERROR(__xludf.DUMMYFUNCTION("""COMPUTED_VALUE"""),"CODI")</f>
        <v>CODI</v>
      </c>
    </row>
    <row r="564">
      <c r="A564" s="1" t="str">
        <f>IFERROR(__xludf.DUMMYFUNCTION("""COMPUTED_VALUE"""),"COE")</f>
        <v>COE</v>
      </c>
    </row>
    <row r="565">
      <c r="A565" s="1" t="str">
        <f>IFERROR(__xludf.DUMMYFUNCTION("""COMPUTED_VALUE"""),"COF")</f>
        <v>COF</v>
      </c>
    </row>
    <row r="566">
      <c r="A566" s="1" t="str">
        <f>IFERROR(__xludf.DUMMYFUNCTION("""COMPUTED_VALUE"""),"COG")</f>
        <v>COG</v>
      </c>
    </row>
    <row r="567">
      <c r="A567" s="1" t="str">
        <f>IFERROR(__xludf.DUMMYFUNCTION("""COMPUTED_VALUE"""),"COLD")</f>
        <v>COLD</v>
      </c>
    </row>
    <row r="568">
      <c r="A568" s="1" t="str">
        <f>IFERROR(__xludf.DUMMYFUNCTION("""COMPUTED_VALUE"""),"COMP")</f>
        <v>COMP</v>
      </c>
    </row>
    <row r="569">
      <c r="A569" s="1" t="str">
        <f>IFERROR(__xludf.DUMMYFUNCTION("""COMPUTED_VALUE"""),"COO")</f>
        <v>COO</v>
      </c>
    </row>
    <row r="570">
      <c r="A570" s="1" t="str">
        <f>IFERROR(__xludf.DUMMYFUNCTION("""COMPUTED_VALUE"""),"COOK")</f>
        <v>COOK</v>
      </c>
    </row>
    <row r="571">
      <c r="A571" s="1" t="str">
        <f>IFERROR(__xludf.DUMMYFUNCTION("""COMPUTED_VALUE"""),"COP")</f>
        <v>COP</v>
      </c>
    </row>
    <row r="572">
      <c r="A572" s="1" t="str">
        <f>IFERROR(__xludf.DUMMYFUNCTION("""COMPUTED_VALUE"""),"COR")</f>
        <v>COR</v>
      </c>
    </row>
    <row r="573">
      <c r="A573" s="1" t="str">
        <f>IFERROR(__xludf.DUMMYFUNCTION("""COMPUTED_VALUE"""),"CORR")</f>
        <v>CORR</v>
      </c>
    </row>
    <row r="574">
      <c r="A574" s="1" t="str">
        <f>IFERROR(__xludf.DUMMYFUNCTION("""COMPUTED_VALUE"""),"COTY")</f>
        <v>COTY</v>
      </c>
    </row>
    <row r="575">
      <c r="A575" s="1" t="str">
        <f>IFERROR(__xludf.DUMMYFUNCTION("""COMPUTED_VALUE"""),"COUR")</f>
        <v>COUR</v>
      </c>
    </row>
    <row r="576">
      <c r="A576" s="1" t="str">
        <f>IFERROR(__xludf.DUMMYFUNCTION("""COMPUTED_VALUE"""),"CP")</f>
        <v>CP</v>
      </c>
    </row>
    <row r="577">
      <c r="A577" s="1" t="str">
        <f>IFERROR(__xludf.DUMMYFUNCTION("""COMPUTED_VALUE"""),"CPA")</f>
        <v>CPA</v>
      </c>
    </row>
    <row r="578">
      <c r="A578" s="1" t="str">
        <f>IFERROR(__xludf.DUMMYFUNCTION("""COMPUTED_VALUE"""),"CPAC")</f>
        <v>CPAC</v>
      </c>
    </row>
    <row r="579">
      <c r="A579" s="1" t="str">
        <f>IFERROR(__xludf.DUMMYFUNCTION("""COMPUTED_VALUE"""),"CPB")</f>
        <v>CPB</v>
      </c>
    </row>
    <row r="580">
      <c r="A580" s="1" t="str">
        <f>IFERROR(__xludf.DUMMYFUNCTION("""COMPUTED_VALUE"""),"CPE")</f>
        <v>CPE</v>
      </c>
    </row>
    <row r="581">
      <c r="A581" s="1" t="str">
        <f>IFERROR(__xludf.DUMMYFUNCTION("""COMPUTED_VALUE"""),"CPF")</f>
        <v>CPF</v>
      </c>
    </row>
    <row r="582">
      <c r="A582" s="1" t="str">
        <f>IFERROR(__xludf.DUMMYFUNCTION("""COMPUTED_VALUE"""),"CPG")</f>
        <v>CPG</v>
      </c>
    </row>
    <row r="583">
      <c r="A583" s="1" t="str">
        <f>IFERROR(__xludf.DUMMYFUNCTION("""COMPUTED_VALUE"""),"CPK")</f>
        <v>CPK</v>
      </c>
    </row>
    <row r="584">
      <c r="A584" s="1" t="str">
        <f>IFERROR(__xludf.DUMMYFUNCTION("""COMPUTED_VALUE"""),"CPLG")</f>
        <v>CPLG</v>
      </c>
    </row>
    <row r="585">
      <c r="A585" s="1" t="str">
        <f>IFERROR(__xludf.DUMMYFUNCTION("""COMPUTED_VALUE"""),"CPNG")</f>
        <v>CPNG</v>
      </c>
    </row>
    <row r="586">
      <c r="A586" s="1" t="str">
        <f>IFERROR(__xludf.DUMMYFUNCTION("""COMPUTED_VALUE"""),"CPRI")</f>
        <v>CPRI</v>
      </c>
    </row>
    <row r="587">
      <c r="A587" s="1" t="str">
        <f>IFERROR(__xludf.DUMMYFUNCTION("""COMPUTED_VALUE"""),"CPS")</f>
        <v>CPS</v>
      </c>
    </row>
    <row r="588">
      <c r="A588" s="1" t="str">
        <f>IFERROR(__xludf.DUMMYFUNCTION("""COMPUTED_VALUE"""),"CPSR")</f>
        <v>CPSR</v>
      </c>
    </row>
    <row r="589">
      <c r="A589" s="1" t="str">
        <f>IFERROR(__xludf.DUMMYFUNCTION("""COMPUTED_VALUE"""),"CPT")</f>
        <v>CPT</v>
      </c>
    </row>
    <row r="590">
      <c r="A590" s="1" t="str">
        <f>IFERROR(__xludf.DUMMYFUNCTION("""COMPUTED_VALUE"""),"CPTK")</f>
        <v>CPTK</v>
      </c>
    </row>
    <row r="591">
      <c r="A591" s="1" t="str">
        <f>IFERROR(__xludf.DUMMYFUNCTION("""COMPUTED_VALUE"""),"CPUH")</f>
        <v>CPUH</v>
      </c>
    </row>
    <row r="592">
      <c r="A592" s="1" t="str">
        <f>IFERROR(__xludf.DUMMYFUNCTION("""COMPUTED_VALUE"""),"CR")</f>
        <v>CR</v>
      </c>
    </row>
    <row r="593">
      <c r="A593" s="1" t="str">
        <f>IFERROR(__xludf.DUMMYFUNCTION("""COMPUTED_VALUE"""),"CRC")</f>
        <v>CRC</v>
      </c>
    </row>
    <row r="594">
      <c r="A594" s="1" t="str">
        <f>IFERROR(__xludf.DUMMYFUNCTION("""COMPUTED_VALUE"""),"CRH")</f>
        <v>CRH</v>
      </c>
    </row>
    <row r="595">
      <c r="A595" s="1" t="str">
        <f>IFERROR(__xludf.DUMMYFUNCTION("""COMPUTED_VALUE"""),"CRHC")</f>
        <v>CRHC</v>
      </c>
    </row>
    <row r="596">
      <c r="A596" s="1" t="str">
        <f>IFERROR(__xludf.DUMMYFUNCTION("""COMPUTED_VALUE"""),"CRI")</f>
        <v>CRI</v>
      </c>
    </row>
    <row r="597">
      <c r="A597" s="1" t="str">
        <f>IFERROR(__xludf.DUMMYFUNCTION("""COMPUTED_VALUE"""),"CRK")</f>
        <v>CRK</v>
      </c>
    </row>
    <row r="598">
      <c r="A598" s="1" t="str">
        <f>IFERROR(__xludf.DUMMYFUNCTION("""COMPUTED_VALUE"""),"CRL")</f>
        <v>CRL</v>
      </c>
    </row>
    <row r="599">
      <c r="A599" s="1" t="str">
        <f>IFERROR(__xludf.DUMMYFUNCTION("""COMPUTED_VALUE"""),"CRM")</f>
        <v>CRM</v>
      </c>
    </row>
    <row r="600">
      <c r="A600" s="1" t="str">
        <f>IFERROR(__xludf.DUMMYFUNCTION("""COMPUTED_VALUE"""),"CRS")</f>
        <v>CRS</v>
      </c>
    </row>
    <row r="601">
      <c r="A601" s="1" t="str">
        <f>IFERROR(__xludf.DUMMYFUNCTION("""COMPUTED_VALUE"""),"CRT")</f>
        <v>CRT</v>
      </c>
    </row>
    <row r="602">
      <c r="A602" s="1" t="str">
        <f>IFERROR(__xludf.DUMMYFUNCTION("""COMPUTED_VALUE"""),"CRU")</f>
        <v>CRU</v>
      </c>
    </row>
    <row r="603">
      <c r="A603" s="1" t="str">
        <f>IFERROR(__xludf.DUMMYFUNCTION("""COMPUTED_VALUE"""),"CRY")</f>
        <v>CRY</v>
      </c>
    </row>
    <row r="604">
      <c r="A604" s="1" t="str">
        <f>IFERROR(__xludf.DUMMYFUNCTION("""COMPUTED_VALUE"""),"CS")</f>
        <v>CS</v>
      </c>
    </row>
    <row r="605">
      <c r="A605" s="1" t="str">
        <f>IFERROR(__xludf.DUMMYFUNCTION("""COMPUTED_VALUE"""),"CSAN")</f>
        <v>CSAN</v>
      </c>
    </row>
    <row r="606">
      <c r="A606" s="1" t="str">
        <f>IFERROR(__xludf.DUMMYFUNCTION("""COMPUTED_VALUE"""),"CSL")</f>
        <v>CSL</v>
      </c>
    </row>
    <row r="607">
      <c r="A607" s="1" t="str">
        <f>IFERROR(__xludf.DUMMYFUNCTION("""COMPUTED_VALUE"""),"CSLT")</f>
        <v>CSLT</v>
      </c>
    </row>
    <row r="608">
      <c r="A608" s="1" t="str">
        <f>IFERROR(__xludf.DUMMYFUNCTION("""COMPUTED_VALUE"""),"CSPR")</f>
        <v>CSPR</v>
      </c>
    </row>
    <row r="609">
      <c r="A609" s="1" t="str">
        <f>IFERROR(__xludf.DUMMYFUNCTION("""COMPUTED_VALUE"""),"CSR")</f>
        <v>CSR</v>
      </c>
    </row>
    <row r="610">
      <c r="A610" s="1" t="str">
        <f>IFERROR(__xludf.DUMMYFUNCTION("""COMPUTED_VALUE"""),"CSTA")</f>
        <v>CSTA</v>
      </c>
    </row>
    <row r="611">
      <c r="A611" s="1" t="str">
        <f>IFERROR(__xludf.DUMMYFUNCTION("""COMPUTED_VALUE"""),"CSTM")</f>
        <v>CSTM</v>
      </c>
    </row>
    <row r="612">
      <c r="A612" s="1" t="str">
        <f>IFERROR(__xludf.DUMMYFUNCTION("""COMPUTED_VALUE"""),"CSU")</f>
        <v>CSU</v>
      </c>
    </row>
    <row r="613">
      <c r="A613" s="1" t="str">
        <f>IFERROR(__xludf.DUMMYFUNCTION("""COMPUTED_VALUE"""),"CSV")</f>
        <v>CSV</v>
      </c>
    </row>
    <row r="614">
      <c r="A614" s="1" t="str">
        <f>IFERROR(__xludf.DUMMYFUNCTION("""COMPUTED_VALUE"""),"CTAC")</f>
        <v>CTAC</v>
      </c>
    </row>
    <row r="615">
      <c r="A615" s="1" t="str">
        <f>IFERROR(__xludf.DUMMYFUNCTION("""COMPUTED_VALUE"""),"CTBB")</f>
        <v>CTBB</v>
      </c>
    </row>
    <row r="616">
      <c r="A616" s="1" t="str">
        <f>IFERROR(__xludf.DUMMYFUNCTION("""COMPUTED_VALUE"""),"CTDD")</f>
        <v>CTDD</v>
      </c>
    </row>
    <row r="617">
      <c r="A617" s="1" t="str">
        <f>IFERROR(__xludf.DUMMYFUNCTION("""COMPUTED_VALUE"""),"CTK")</f>
        <v>CTK</v>
      </c>
    </row>
    <row r="618">
      <c r="A618" s="1" t="str">
        <f>IFERROR(__xludf.DUMMYFUNCTION("""COMPUTED_VALUE"""),"CTLT")</f>
        <v>CTLT</v>
      </c>
    </row>
    <row r="619">
      <c r="A619" s="1" t="str">
        <f>IFERROR(__xludf.DUMMYFUNCTION("""COMPUTED_VALUE"""),"CTO")</f>
        <v>CTO</v>
      </c>
    </row>
    <row r="620">
      <c r="A620" s="1" t="str">
        <f>IFERROR(__xludf.DUMMYFUNCTION("""COMPUTED_VALUE"""),"CTOS")</f>
        <v>CTOS</v>
      </c>
    </row>
    <row r="621">
      <c r="A621" s="1" t="str">
        <f>IFERROR(__xludf.DUMMYFUNCTION("""COMPUTED_VALUE"""),"CTR")</f>
        <v>CTR</v>
      </c>
    </row>
    <row r="622">
      <c r="A622" s="1" t="str">
        <f>IFERROR(__xludf.DUMMYFUNCTION("""COMPUTED_VALUE"""),"CTS")</f>
        <v>CTS</v>
      </c>
    </row>
    <row r="623">
      <c r="A623" s="1" t="str">
        <f>IFERROR(__xludf.DUMMYFUNCTION("""COMPUTED_VALUE"""),"CTT")</f>
        <v>CTT</v>
      </c>
    </row>
    <row r="624">
      <c r="A624" s="1" t="str">
        <f>IFERROR(__xludf.DUMMYFUNCTION("""COMPUTED_VALUE"""),"CTVA")</f>
        <v>CTVA</v>
      </c>
    </row>
    <row r="625">
      <c r="A625" s="1" t="str">
        <f>IFERROR(__xludf.DUMMYFUNCTION("""COMPUTED_VALUE"""),"CUBB")</f>
        <v>CUBB</v>
      </c>
    </row>
    <row r="626">
      <c r="A626" s="1" t="str">
        <f>IFERROR(__xludf.DUMMYFUNCTION("""COMPUTED_VALUE"""),"CUBE")</f>
        <v>CUBE</v>
      </c>
    </row>
    <row r="627">
      <c r="A627" s="1" t="str">
        <f>IFERROR(__xludf.DUMMYFUNCTION("""COMPUTED_VALUE"""),"CUBI")</f>
        <v>CUBI</v>
      </c>
    </row>
    <row r="628">
      <c r="A628" s="1" t="str">
        <f>IFERROR(__xludf.DUMMYFUNCTION("""COMPUTED_VALUE"""),"CUK")</f>
        <v>CUK</v>
      </c>
    </row>
    <row r="629">
      <c r="A629" s="1" t="str">
        <f>IFERROR(__xludf.DUMMYFUNCTION("""COMPUTED_VALUE"""),"CULP")</f>
        <v>CULP</v>
      </c>
    </row>
    <row r="630">
      <c r="A630" s="1" t="str">
        <f>IFERROR(__xludf.DUMMYFUNCTION("""COMPUTED_VALUE"""),"CURO")</f>
        <v>CURO</v>
      </c>
    </row>
    <row r="631">
      <c r="A631" s="1" t="str">
        <f>IFERROR(__xludf.DUMMYFUNCTION("""COMPUTED_VALUE"""),"CURV")</f>
        <v>CURV</v>
      </c>
    </row>
    <row r="632">
      <c r="A632" s="1" t="str">
        <f>IFERROR(__xludf.DUMMYFUNCTION("""COMPUTED_VALUE"""),"CUZ")</f>
        <v>CUZ</v>
      </c>
    </row>
    <row r="633">
      <c r="A633" s="1" t="str">
        <f>IFERROR(__xludf.DUMMYFUNCTION("""COMPUTED_VALUE"""),"CVA")</f>
        <v>CVA</v>
      </c>
    </row>
    <row r="634">
      <c r="A634" s="1" t="str">
        <f>IFERROR(__xludf.DUMMYFUNCTION("""COMPUTED_VALUE"""),"CVE")</f>
        <v>CVE</v>
      </c>
    </row>
    <row r="635">
      <c r="A635" s="1" t="str">
        <f>IFERROR(__xludf.DUMMYFUNCTION("""COMPUTED_VALUE"""),"CVEO")</f>
        <v>CVEO</v>
      </c>
    </row>
    <row r="636">
      <c r="A636" s="1" t="str">
        <f>IFERROR(__xludf.DUMMYFUNCTION("""COMPUTED_VALUE"""),"CVI")</f>
        <v>CVI</v>
      </c>
    </row>
    <row r="637">
      <c r="A637" s="1" t="str">
        <f>IFERROR(__xludf.DUMMYFUNCTION("""COMPUTED_VALUE"""),"CVII")</f>
        <v>CVII</v>
      </c>
    </row>
    <row r="638">
      <c r="A638" s="1" t="str">
        <f>IFERROR(__xludf.DUMMYFUNCTION("""COMPUTED_VALUE"""),"CVNA")</f>
        <v>CVNA</v>
      </c>
    </row>
    <row r="639">
      <c r="A639" s="1" t="str">
        <f>IFERROR(__xludf.DUMMYFUNCTION("""COMPUTED_VALUE"""),"CVS")</f>
        <v>CVS</v>
      </c>
    </row>
    <row r="640">
      <c r="A640" s="1" t="str">
        <f>IFERROR(__xludf.DUMMYFUNCTION("""COMPUTED_VALUE"""),"CVX")</f>
        <v>CVX</v>
      </c>
    </row>
    <row r="641">
      <c r="A641" s="1" t="str">
        <f>IFERROR(__xludf.DUMMYFUNCTION("""COMPUTED_VALUE"""),"CW")</f>
        <v>CW</v>
      </c>
    </row>
    <row r="642">
      <c r="A642" s="1" t="str">
        <f>IFERROR(__xludf.DUMMYFUNCTION("""COMPUTED_VALUE"""),"CWEN")</f>
        <v>CWEN</v>
      </c>
    </row>
    <row r="643">
      <c r="A643" s="1" t="str">
        <f>IFERROR(__xludf.DUMMYFUNCTION("""COMPUTED_VALUE"""),"CWH")</f>
        <v>CWH</v>
      </c>
    </row>
    <row r="644">
      <c r="A644" s="1" t="str">
        <f>IFERROR(__xludf.DUMMYFUNCTION("""COMPUTED_VALUE"""),"CWK")</f>
        <v>CWK</v>
      </c>
    </row>
    <row r="645">
      <c r="A645" s="1" t="str">
        <f>IFERROR(__xludf.DUMMYFUNCTION("""COMPUTED_VALUE"""),"CWT")</f>
        <v>CWT</v>
      </c>
    </row>
    <row r="646">
      <c r="A646" s="1" t="str">
        <f>IFERROR(__xludf.DUMMYFUNCTION("""COMPUTED_VALUE"""),"CX")</f>
        <v>CX</v>
      </c>
    </row>
    <row r="647">
      <c r="A647" s="1" t="str">
        <f>IFERROR(__xludf.DUMMYFUNCTION("""COMPUTED_VALUE"""),"CXE")</f>
        <v>CXE</v>
      </c>
    </row>
    <row r="648">
      <c r="A648" s="1" t="str">
        <f>IFERROR(__xludf.DUMMYFUNCTION("""COMPUTED_VALUE"""),"CXH")</f>
        <v>CXH</v>
      </c>
    </row>
    <row r="649">
      <c r="A649" s="1" t="str">
        <f>IFERROR(__xludf.DUMMYFUNCTION("""COMPUTED_VALUE"""),"CXM")</f>
        <v>CXM</v>
      </c>
    </row>
    <row r="650">
      <c r="A650" s="1" t="str">
        <f>IFERROR(__xludf.DUMMYFUNCTION("""COMPUTED_VALUE"""),"CXP")</f>
        <v>CXP</v>
      </c>
    </row>
    <row r="651">
      <c r="A651" s="1" t="str">
        <f>IFERROR(__xludf.DUMMYFUNCTION("""COMPUTED_VALUE"""),"CXW")</f>
        <v>CXW</v>
      </c>
    </row>
    <row r="652">
      <c r="A652" s="1" t="str">
        <f>IFERROR(__xludf.DUMMYFUNCTION("""COMPUTED_VALUE"""),"CYD")</f>
        <v>CYD</v>
      </c>
    </row>
    <row r="653">
      <c r="A653" s="1" t="str">
        <f>IFERROR(__xludf.DUMMYFUNCTION("""COMPUTED_VALUE"""),"CYH")</f>
        <v>CYH</v>
      </c>
    </row>
    <row r="654">
      <c r="A654" s="1" t="str">
        <f>IFERROR(__xludf.DUMMYFUNCTION("""COMPUTED_VALUE"""),"D")</f>
        <v>D</v>
      </c>
    </row>
    <row r="655">
      <c r="A655" s="1" t="str">
        <f>IFERROR(__xludf.DUMMYFUNCTION("""COMPUTED_VALUE"""),"DAC")</f>
        <v>DAC</v>
      </c>
    </row>
    <row r="656">
      <c r="A656" s="1" t="str">
        <f>IFERROR(__xludf.DUMMYFUNCTION("""COMPUTED_VALUE"""),"DAL")</f>
        <v>DAL</v>
      </c>
    </row>
    <row r="657">
      <c r="A657" s="1" t="str">
        <f>IFERROR(__xludf.DUMMYFUNCTION("""COMPUTED_VALUE"""),"DAN")</f>
        <v>DAN</v>
      </c>
    </row>
    <row r="658">
      <c r="A658" s="1" t="str">
        <f>IFERROR(__xludf.DUMMYFUNCTION("""COMPUTED_VALUE"""),"DAO")</f>
        <v>DAO</v>
      </c>
    </row>
    <row r="659">
      <c r="A659" s="1" t="str">
        <f>IFERROR(__xludf.DUMMYFUNCTION("""COMPUTED_VALUE"""),"DAR")</f>
        <v>DAR</v>
      </c>
    </row>
    <row r="660">
      <c r="A660" s="1" t="str">
        <f>IFERROR(__xludf.DUMMYFUNCTION("""COMPUTED_VALUE"""),"DASH")</f>
        <v>DASH</v>
      </c>
    </row>
    <row r="661">
      <c r="A661" s="1" t="str">
        <f>IFERROR(__xludf.DUMMYFUNCTION("""COMPUTED_VALUE"""),"DAVA")</f>
        <v>DAVA</v>
      </c>
    </row>
    <row r="662">
      <c r="A662" s="1" t="str">
        <f>IFERROR(__xludf.DUMMYFUNCTION("""COMPUTED_VALUE"""),"DB")</f>
        <v>DB</v>
      </c>
    </row>
    <row r="663">
      <c r="A663" s="1" t="str">
        <f>IFERROR(__xludf.DUMMYFUNCTION("""COMPUTED_VALUE"""),"DBD")</f>
        <v>DBD</v>
      </c>
    </row>
    <row r="664">
      <c r="A664" s="1" t="str">
        <f>IFERROR(__xludf.DUMMYFUNCTION("""COMPUTED_VALUE"""),"DBI")</f>
        <v>DBI</v>
      </c>
    </row>
    <row r="665">
      <c r="A665" s="1" t="str">
        <f>IFERROR(__xludf.DUMMYFUNCTION("""COMPUTED_VALUE"""),"DBL")</f>
        <v>DBL</v>
      </c>
    </row>
    <row r="666">
      <c r="A666" s="1" t="str">
        <f>IFERROR(__xludf.DUMMYFUNCTION("""COMPUTED_VALUE"""),"DBRG")</f>
        <v>DBRG</v>
      </c>
    </row>
    <row r="667">
      <c r="A667" s="1" t="str">
        <f>IFERROR(__xludf.DUMMYFUNCTION("""COMPUTED_VALUE"""),"DCF")</f>
        <v>DCF</v>
      </c>
    </row>
    <row r="668">
      <c r="A668" s="1" t="str">
        <f>IFERROR(__xludf.DUMMYFUNCTION("""COMPUTED_VALUE"""),"DCI")</f>
        <v>DCI</v>
      </c>
    </row>
    <row r="669">
      <c r="A669" s="1" t="str">
        <f>IFERROR(__xludf.DUMMYFUNCTION("""COMPUTED_VALUE"""),"DCO")</f>
        <v>DCO</v>
      </c>
    </row>
    <row r="670">
      <c r="A670" s="1" t="str">
        <f>IFERROR(__xludf.DUMMYFUNCTION("""COMPUTED_VALUE"""),"DCP")</f>
        <v>DCP</v>
      </c>
    </row>
    <row r="671">
      <c r="A671" s="1" t="str">
        <f>IFERROR(__xludf.DUMMYFUNCTION("""COMPUTED_VALUE"""),"DCUE")</f>
        <v>DCUE</v>
      </c>
    </row>
    <row r="672">
      <c r="A672" s="1" t="str">
        <f>IFERROR(__xludf.DUMMYFUNCTION("""COMPUTED_VALUE"""),"DD")</f>
        <v>DD</v>
      </c>
    </row>
    <row r="673">
      <c r="A673" s="1" t="str">
        <f>IFERROR(__xludf.DUMMYFUNCTION("""COMPUTED_VALUE"""),"DDD")</f>
        <v>DDD</v>
      </c>
    </row>
    <row r="674">
      <c r="A674" s="1" t="str">
        <f>IFERROR(__xludf.DUMMYFUNCTION("""COMPUTED_VALUE"""),"DDF")</f>
        <v>DDF</v>
      </c>
    </row>
    <row r="675">
      <c r="A675" s="1" t="str">
        <f>IFERROR(__xludf.DUMMYFUNCTION("""COMPUTED_VALUE"""),"DDL")</f>
        <v>DDL</v>
      </c>
    </row>
    <row r="676">
      <c r="A676" s="1" t="str">
        <f>IFERROR(__xludf.DUMMYFUNCTION("""COMPUTED_VALUE"""),"DDS")</f>
        <v>DDS</v>
      </c>
    </row>
    <row r="677">
      <c r="A677" s="1" t="str">
        <f>IFERROR(__xludf.DUMMYFUNCTION("""COMPUTED_VALUE"""),"DDT")</f>
        <v>DDT</v>
      </c>
    </row>
    <row r="678">
      <c r="A678" s="1" t="str">
        <f>IFERROR(__xludf.DUMMYFUNCTION("""COMPUTED_VALUE"""),"DE")</f>
        <v>DE</v>
      </c>
    </row>
    <row r="679">
      <c r="A679" s="1" t="str">
        <f>IFERROR(__xludf.DUMMYFUNCTION("""COMPUTED_VALUE"""),"DEA")</f>
        <v>DEA</v>
      </c>
    </row>
    <row r="680">
      <c r="A680" s="1" t="str">
        <f>IFERROR(__xludf.DUMMYFUNCTION("""COMPUTED_VALUE"""),"DECK")</f>
        <v>DECK</v>
      </c>
    </row>
    <row r="681">
      <c r="A681" s="1" t="str">
        <f>IFERROR(__xludf.DUMMYFUNCTION("""COMPUTED_VALUE"""),"DEH")</f>
        <v>DEH</v>
      </c>
    </row>
    <row r="682">
      <c r="A682" s="1" t="str">
        <f>IFERROR(__xludf.DUMMYFUNCTION("""COMPUTED_VALUE"""),"DEI")</f>
        <v>DEI</v>
      </c>
    </row>
    <row r="683">
      <c r="A683" s="1" t="str">
        <f>IFERROR(__xludf.DUMMYFUNCTION("""COMPUTED_VALUE"""),"DELL")</f>
        <v>DELL</v>
      </c>
    </row>
    <row r="684">
      <c r="A684" s="1" t="str">
        <f>IFERROR(__xludf.DUMMYFUNCTION("""COMPUTED_VALUE"""),"DEN")</f>
        <v>DEN</v>
      </c>
    </row>
    <row r="685">
      <c r="A685" s="1" t="str">
        <f>IFERROR(__xludf.DUMMYFUNCTION("""COMPUTED_VALUE"""),"DEO")</f>
        <v>DEO</v>
      </c>
    </row>
    <row r="686">
      <c r="A686" s="1" t="str">
        <f>IFERROR(__xludf.DUMMYFUNCTION("""COMPUTED_VALUE"""),"DESP")</f>
        <v>DESP</v>
      </c>
    </row>
    <row r="687">
      <c r="A687" s="1" t="str">
        <f>IFERROR(__xludf.DUMMYFUNCTION("""COMPUTED_VALUE"""),"DEX")</f>
        <v>DEX</v>
      </c>
    </row>
    <row r="688">
      <c r="A688" s="1" t="str">
        <f>IFERROR(__xludf.DUMMYFUNCTION("""COMPUTED_VALUE"""),"DFIN")</f>
        <v>DFIN</v>
      </c>
    </row>
    <row r="689">
      <c r="A689" s="1" t="str">
        <f>IFERROR(__xludf.DUMMYFUNCTION("""COMPUTED_VALUE"""),"DFNS")</f>
        <v>DFNS</v>
      </c>
    </row>
    <row r="690">
      <c r="A690" s="1" t="str">
        <f>IFERROR(__xludf.DUMMYFUNCTION("""COMPUTED_VALUE"""),"DFP")</f>
        <v>DFP</v>
      </c>
    </row>
    <row r="691">
      <c r="A691" s="1" t="str">
        <f>IFERROR(__xludf.DUMMYFUNCTION("""COMPUTED_VALUE"""),"DFS")</f>
        <v>DFS</v>
      </c>
    </row>
    <row r="692">
      <c r="A692" s="1" t="str">
        <f>IFERROR(__xludf.DUMMYFUNCTION("""COMPUTED_VALUE"""),"DG")</f>
        <v>DG</v>
      </c>
    </row>
    <row r="693">
      <c r="A693" s="1" t="str">
        <f>IFERROR(__xludf.DUMMYFUNCTION("""COMPUTED_VALUE"""),"DGX")</f>
        <v>DGX</v>
      </c>
    </row>
    <row r="694">
      <c r="A694" s="1" t="str">
        <f>IFERROR(__xludf.DUMMYFUNCTION("""COMPUTED_VALUE"""),"DHF")</f>
        <v>DHF</v>
      </c>
    </row>
    <row r="695">
      <c r="A695" s="1" t="str">
        <f>IFERROR(__xludf.DUMMYFUNCTION("""COMPUTED_VALUE"""),"DHI")</f>
        <v>DHI</v>
      </c>
    </row>
    <row r="696">
      <c r="A696" s="1" t="str">
        <f>IFERROR(__xludf.DUMMYFUNCTION("""COMPUTED_VALUE"""),"DHR")</f>
        <v>DHR</v>
      </c>
    </row>
    <row r="697">
      <c r="A697" s="1" t="str">
        <f>IFERROR(__xludf.DUMMYFUNCTION("""COMPUTED_VALUE"""),"DHT")</f>
        <v>DHT</v>
      </c>
    </row>
    <row r="698">
      <c r="A698" s="1" t="str">
        <f>IFERROR(__xludf.DUMMYFUNCTION("""COMPUTED_VALUE"""),"DHX")</f>
        <v>DHX</v>
      </c>
    </row>
    <row r="699">
      <c r="A699" s="1" t="str">
        <f>IFERROR(__xludf.DUMMYFUNCTION("""COMPUTED_VALUE"""),"DIAX")</f>
        <v>DIAX</v>
      </c>
    </row>
    <row r="700">
      <c r="A700" s="1" t="str">
        <f>IFERROR(__xludf.DUMMYFUNCTION("""COMPUTED_VALUE"""),"DIDI")</f>
        <v>DIDI</v>
      </c>
    </row>
    <row r="701">
      <c r="A701" s="1" t="str">
        <f>IFERROR(__xludf.DUMMYFUNCTION("""COMPUTED_VALUE"""),"DIN")</f>
        <v>DIN</v>
      </c>
    </row>
    <row r="702">
      <c r="A702" s="1" t="str">
        <f>IFERROR(__xludf.DUMMYFUNCTION("""COMPUTED_VALUE"""),"DIS")</f>
        <v>DIS</v>
      </c>
    </row>
    <row r="703">
      <c r="A703" s="1" t="str">
        <f>IFERROR(__xludf.DUMMYFUNCTION("""COMPUTED_VALUE"""),"DK")</f>
        <v>DK</v>
      </c>
    </row>
    <row r="704">
      <c r="A704" s="1" t="str">
        <f>IFERROR(__xludf.DUMMYFUNCTION("""COMPUTED_VALUE"""),"DKL")</f>
        <v>DKL</v>
      </c>
    </row>
    <row r="705">
      <c r="A705" s="1" t="str">
        <f>IFERROR(__xludf.DUMMYFUNCTION("""COMPUTED_VALUE"""),"DKS")</f>
        <v>DKS</v>
      </c>
    </row>
    <row r="706">
      <c r="A706" s="1" t="str">
        <f>IFERROR(__xludf.DUMMYFUNCTION("""COMPUTED_VALUE"""),"DLB")</f>
        <v>DLB</v>
      </c>
    </row>
    <row r="707">
      <c r="A707" s="1" t="str">
        <f>IFERROR(__xludf.DUMMYFUNCTION("""COMPUTED_VALUE"""),"DLNG")</f>
        <v>DLNG</v>
      </c>
    </row>
    <row r="708">
      <c r="A708" s="1" t="str">
        <f>IFERROR(__xludf.DUMMYFUNCTION("""COMPUTED_VALUE"""),"DLR")</f>
        <v>DLR</v>
      </c>
    </row>
    <row r="709">
      <c r="A709" s="1" t="str">
        <f>IFERROR(__xludf.DUMMYFUNCTION("""COMPUTED_VALUE"""),"DLX")</f>
        <v>DLX</v>
      </c>
    </row>
    <row r="710">
      <c r="A710" s="1" t="str">
        <f>IFERROR(__xludf.DUMMYFUNCTION("""COMPUTED_VALUE"""),"DLY")</f>
        <v>DLY</v>
      </c>
    </row>
    <row r="711">
      <c r="A711" s="1" t="str">
        <f>IFERROR(__xludf.DUMMYFUNCTION("""COMPUTED_VALUE"""),"DM")</f>
        <v>DM</v>
      </c>
    </row>
    <row r="712">
      <c r="A712" s="1" t="str">
        <f>IFERROR(__xludf.DUMMYFUNCTION("""COMPUTED_VALUE"""),"DMB")</f>
        <v>DMB</v>
      </c>
    </row>
    <row r="713">
      <c r="A713" s="1" t="str">
        <f>IFERROR(__xludf.DUMMYFUNCTION("""COMPUTED_VALUE"""),"DMO")</f>
        <v>DMO</v>
      </c>
    </row>
    <row r="714">
      <c r="A714" s="1" t="str">
        <f>IFERROR(__xludf.DUMMYFUNCTION("""COMPUTED_VALUE"""),"DMS")</f>
        <v>DMS</v>
      </c>
    </row>
    <row r="715">
      <c r="A715" s="1" t="str">
        <f>IFERROR(__xludf.DUMMYFUNCTION("""COMPUTED_VALUE"""),"DMYI")</f>
        <v>DMYI</v>
      </c>
    </row>
    <row r="716">
      <c r="A716" s="1" t="str">
        <f>IFERROR(__xludf.DUMMYFUNCTION("""COMPUTED_VALUE"""),"DMYQ")</f>
        <v>DMYQ</v>
      </c>
    </row>
    <row r="717">
      <c r="A717" s="1" t="str">
        <f>IFERROR(__xludf.DUMMYFUNCTION("""COMPUTED_VALUE"""),"DNB")</f>
        <v>DNB</v>
      </c>
    </row>
    <row r="718">
      <c r="A718" s="1" t="str">
        <f>IFERROR(__xludf.DUMMYFUNCTION("""COMPUTED_VALUE"""),"DNMR")</f>
        <v>DNMR</v>
      </c>
    </row>
    <row r="719">
      <c r="A719" s="1" t="str">
        <f>IFERROR(__xludf.DUMMYFUNCTION("""COMPUTED_VALUE"""),"DNOW")</f>
        <v>DNOW</v>
      </c>
    </row>
    <row r="720">
      <c r="A720" s="1" t="str">
        <f>IFERROR(__xludf.DUMMYFUNCTION("""COMPUTED_VALUE"""),"DNP")</f>
        <v>DNP</v>
      </c>
    </row>
    <row r="721">
      <c r="A721" s="1" t="str">
        <f>IFERROR(__xludf.DUMMYFUNCTION("""COMPUTED_VALUE"""),"DNZ")</f>
        <v>DNZ</v>
      </c>
    </row>
    <row r="722">
      <c r="A722" s="1" t="str">
        <f>IFERROR(__xludf.DUMMYFUNCTION("""COMPUTED_VALUE"""),"DOC")</f>
        <v>DOC</v>
      </c>
    </row>
    <row r="723">
      <c r="A723" s="1" t="str">
        <f>IFERROR(__xludf.DUMMYFUNCTION("""COMPUTED_VALUE"""),"DOCN")</f>
        <v>DOCN</v>
      </c>
    </row>
    <row r="724">
      <c r="A724" s="1" t="str">
        <f>IFERROR(__xludf.DUMMYFUNCTION("""COMPUTED_VALUE"""),"DOCS")</f>
        <v>DOCS</v>
      </c>
    </row>
    <row r="725">
      <c r="A725" s="1" t="str">
        <f>IFERROR(__xludf.DUMMYFUNCTION("""COMPUTED_VALUE"""),"DOLE")</f>
        <v>DOLE</v>
      </c>
    </row>
    <row r="726">
      <c r="A726" s="1" t="str">
        <f>IFERROR(__xludf.DUMMYFUNCTION("""COMPUTED_VALUE"""),"DOMA")</f>
        <v>DOMA</v>
      </c>
    </row>
    <row r="727">
      <c r="A727" s="1" t="str">
        <f>IFERROR(__xludf.DUMMYFUNCTION("""COMPUTED_VALUE"""),"DOOR")</f>
        <v>DOOR</v>
      </c>
    </row>
    <row r="728">
      <c r="A728" s="1" t="str">
        <f>IFERROR(__xludf.DUMMYFUNCTION("""COMPUTED_VALUE"""),"DOV")</f>
        <v>DOV</v>
      </c>
    </row>
    <row r="729">
      <c r="A729" s="1" t="str">
        <f>IFERROR(__xludf.DUMMYFUNCTION("""COMPUTED_VALUE"""),"DOW")</f>
        <v>DOW</v>
      </c>
    </row>
    <row r="730">
      <c r="A730" s="1" t="str">
        <f>IFERROR(__xludf.DUMMYFUNCTION("""COMPUTED_VALUE"""),"DPG")</f>
        <v>DPG</v>
      </c>
    </row>
    <row r="731">
      <c r="A731" s="1" t="str">
        <f>IFERROR(__xludf.DUMMYFUNCTION("""COMPUTED_VALUE"""),"DPZ")</f>
        <v>DPZ</v>
      </c>
    </row>
    <row r="732">
      <c r="A732" s="1" t="str">
        <f>IFERROR(__xludf.DUMMYFUNCTION("""COMPUTED_VALUE"""),"DQ")</f>
        <v>DQ</v>
      </c>
    </row>
    <row r="733">
      <c r="A733" s="1" t="str">
        <f>IFERROR(__xludf.DUMMYFUNCTION("""COMPUTED_VALUE"""),"DRD")</f>
        <v>DRD</v>
      </c>
    </row>
    <row r="734">
      <c r="A734" s="1" t="str">
        <f>IFERROR(__xludf.DUMMYFUNCTION("""COMPUTED_VALUE"""),"DRE")</f>
        <v>DRE</v>
      </c>
    </row>
    <row r="735">
      <c r="A735" s="1" t="str">
        <f>IFERROR(__xludf.DUMMYFUNCTION("""COMPUTED_VALUE"""),"DRH")</f>
        <v>DRH</v>
      </c>
    </row>
    <row r="736">
      <c r="A736" s="1" t="str">
        <f>IFERROR(__xludf.DUMMYFUNCTION("""COMPUTED_VALUE"""),"DRI")</f>
        <v>DRI</v>
      </c>
    </row>
    <row r="737">
      <c r="A737" s="1" t="str">
        <f>IFERROR(__xludf.DUMMYFUNCTION("""COMPUTED_VALUE"""),"DRQ")</f>
        <v>DRQ</v>
      </c>
    </row>
    <row r="738">
      <c r="A738" s="1" t="str">
        <f>IFERROR(__xludf.DUMMYFUNCTION("""COMPUTED_VALUE"""),"DRUA")</f>
        <v>DRUA</v>
      </c>
    </row>
    <row r="739">
      <c r="A739" s="1" t="str">
        <f>IFERROR(__xludf.DUMMYFUNCTION("""COMPUTED_VALUE"""),"DS")</f>
        <v>DS</v>
      </c>
    </row>
    <row r="740">
      <c r="A740" s="1" t="str">
        <f>IFERROR(__xludf.DUMMYFUNCTION("""COMPUTED_VALUE"""),"DSL")</f>
        <v>DSL</v>
      </c>
    </row>
    <row r="741">
      <c r="A741" s="1" t="str">
        <f>IFERROR(__xludf.DUMMYFUNCTION("""COMPUTED_VALUE"""),"DSM")</f>
        <v>DSM</v>
      </c>
    </row>
    <row r="742">
      <c r="A742" s="1" t="str">
        <f>IFERROR(__xludf.DUMMYFUNCTION("""COMPUTED_VALUE"""),"DSU")</f>
        <v>DSU</v>
      </c>
    </row>
    <row r="743">
      <c r="A743" s="1" t="str">
        <f>IFERROR(__xludf.DUMMYFUNCTION("""COMPUTED_VALUE"""),"DSX")</f>
        <v>DSX</v>
      </c>
    </row>
    <row r="744">
      <c r="A744" s="1" t="str">
        <f>IFERROR(__xludf.DUMMYFUNCTION("""COMPUTED_VALUE"""),"DT")</f>
        <v>DT</v>
      </c>
    </row>
    <row r="745">
      <c r="A745" s="1" t="str">
        <f>IFERROR(__xludf.DUMMYFUNCTION("""COMPUTED_VALUE"""),"DTB")</f>
        <v>DTB</v>
      </c>
    </row>
    <row r="746">
      <c r="A746" s="1" t="str">
        <f>IFERROR(__xludf.DUMMYFUNCTION("""COMPUTED_VALUE"""),"DTE")</f>
        <v>DTE</v>
      </c>
    </row>
    <row r="747">
      <c r="A747" s="1" t="str">
        <f>IFERROR(__xludf.DUMMYFUNCTION("""COMPUTED_VALUE"""),"DTF")</f>
        <v>DTF</v>
      </c>
    </row>
    <row r="748">
      <c r="A748" s="1" t="str">
        <f>IFERROR(__xludf.DUMMYFUNCTION("""COMPUTED_VALUE"""),"DTM")</f>
        <v>DTM</v>
      </c>
    </row>
    <row r="749">
      <c r="A749" s="1" t="str">
        <f>IFERROR(__xludf.DUMMYFUNCTION("""COMPUTED_VALUE"""),"DTP")</f>
        <v>DTP</v>
      </c>
    </row>
    <row r="750">
      <c r="A750" s="1" t="str">
        <f>IFERROR(__xludf.DUMMYFUNCTION("""COMPUTED_VALUE"""),"DTW")</f>
        <v>DTW</v>
      </c>
    </row>
    <row r="751">
      <c r="A751" s="1" t="str">
        <f>IFERROR(__xludf.DUMMYFUNCTION("""COMPUTED_VALUE"""),"DTY")</f>
        <v>DTY</v>
      </c>
    </row>
    <row r="752">
      <c r="A752" s="1" t="str">
        <f>IFERROR(__xludf.DUMMYFUNCTION("""COMPUTED_VALUE"""),"DUK")</f>
        <v>DUK</v>
      </c>
    </row>
    <row r="753">
      <c r="A753" s="1" t="str">
        <f>IFERROR(__xludf.DUMMYFUNCTION("""COMPUTED_VALUE"""),"DUKB")</f>
        <v>DUKB</v>
      </c>
    </row>
    <row r="754">
      <c r="A754" s="1" t="str">
        <f>IFERROR(__xludf.DUMMYFUNCTION("""COMPUTED_VALUE"""),"DUKH")</f>
        <v>DUKH</v>
      </c>
    </row>
    <row r="755">
      <c r="A755" s="1" t="str">
        <f>IFERROR(__xludf.DUMMYFUNCTION("""COMPUTED_VALUE"""),"DV")</f>
        <v>DV</v>
      </c>
    </row>
    <row r="756">
      <c r="A756" s="1" t="str">
        <f>IFERROR(__xludf.DUMMYFUNCTION("""COMPUTED_VALUE"""),"DVA")</f>
        <v>DVA</v>
      </c>
    </row>
    <row r="757">
      <c r="A757" s="1" t="str">
        <f>IFERROR(__xludf.DUMMYFUNCTION("""COMPUTED_VALUE"""),"DVD")</f>
        <v>DVD</v>
      </c>
    </row>
    <row r="758">
      <c r="A758" s="1" t="str">
        <f>IFERROR(__xludf.DUMMYFUNCTION("""COMPUTED_VALUE"""),"DVN")</f>
        <v>DVN</v>
      </c>
    </row>
    <row r="759">
      <c r="A759" s="1" t="str">
        <f>IFERROR(__xludf.DUMMYFUNCTION("""COMPUTED_VALUE"""),"DWIN")</f>
        <v>DWIN</v>
      </c>
    </row>
    <row r="760">
      <c r="A760" s="1" t="str">
        <f>IFERROR(__xludf.DUMMYFUNCTION("""COMPUTED_VALUE"""),"DX")</f>
        <v>DX</v>
      </c>
    </row>
    <row r="761">
      <c r="A761" s="1" t="str">
        <f>IFERROR(__xludf.DUMMYFUNCTION("""COMPUTED_VALUE"""),"DXC")</f>
        <v>DXC</v>
      </c>
    </row>
    <row r="762">
      <c r="A762" s="1" t="str">
        <f>IFERROR(__xludf.DUMMYFUNCTION("""COMPUTED_VALUE"""),"DY")</f>
        <v>DY</v>
      </c>
    </row>
    <row r="763">
      <c r="A763" s="1" t="str">
        <f>IFERROR(__xludf.DUMMYFUNCTION("""COMPUTED_VALUE"""),"DYFN")</f>
        <v>DYFN</v>
      </c>
    </row>
    <row r="764">
      <c r="A764" s="1" t="str">
        <f>IFERROR(__xludf.DUMMYFUNCTION("""COMPUTED_VALUE"""),"E")</f>
        <v>E</v>
      </c>
    </row>
    <row r="765">
      <c r="A765" s="1" t="str">
        <f>IFERROR(__xludf.DUMMYFUNCTION("""COMPUTED_VALUE"""),"EAF")</f>
        <v>EAF</v>
      </c>
    </row>
    <row r="766">
      <c r="A766" s="1" t="str">
        <f>IFERROR(__xludf.DUMMYFUNCTION("""COMPUTED_VALUE"""),"EAI")</f>
        <v>EAI</v>
      </c>
    </row>
    <row r="767">
      <c r="A767" s="1" t="str">
        <f>IFERROR(__xludf.DUMMYFUNCTION("""COMPUTED_VALUE"""),"EARN")</f>
        <v>EARN</v>
      </c>
    </row>
    <row r="768">
      <c r="A768" s="1" t="str">
        <f>IFERROR(__xludf.DUMMYFUNCTION("""COMPUTED_VALUE"""),"EAT")</f>
        <v>EAT</v>
      </c>
    </row>
    <row r="769">
      <c r="A769" s="1" t="str">
        <f>IFERROR(__xludf.DUMMYFUNCTION("""COMPUTED_VALUE"""),"EB")</f>
        <v>EB</v>
      </c>
    </row>
    <row r="770">
      <c r="A770" s="1" t="str">
        <f>IFERROR(__xludf.DUMMYFUNCTION("""COMPUTED_VALUE"""),"EBF")</f>
        <v>EBF</v>
      </c>
    </row>
    <row r="771">
      <c r="A771" s="1" t="str">
        <f>IFERROR(__xludf.DUMMYFUNCTION("""COMPUTED_VALUE"""),"EBR")</f>
        <v>EBR</v>
      </c>
    </row>
    <row r="772">
      <c r="A772" s="1" t="str">
        <f>IFERROR(__xludf.DUMMYFUNCTION("""COMPUTED_VALUE"""),"EBS")</f>
        <v>EBS</v>
      </c>
    </row>
    <row r="773">
      <c r="A773" s="1" t="str">
        <f>IFERROR(__xludf.DUMMYFUNCTION("""COMPUTED_VALUE"""),"EC")</f>
        <v>EC</v>
      </c>
    </row>
    <row r="774">
      <c r="A774" s="1" t="str">
        <f>IFERROR(__xludf.DUMMYFUNCTION("""COMPUTED_VALUE"""),"ECC")</f>
        <v>ECC</v>
      </c>
    </row>
    <row r="775">
      <c r="A775" s="1" t="str">
        <f>IFERROR(__xludf.DUMMYFUNCTION("""COMPUTED_VALUE"""),"ECCB")</f>
        <v>ECCB</v>
      </c>
    </row>
    <row r="776">
      <c r="A776" s="1" t="str">
        <f>IFERROR(__xludf.DUMMYFUNCTION("""COMPUTED_VALUE"""),"ECCC")</f>
        <v>ECCC</v>
      </c>
    </row>
    <row r="777">
      <c r="A777" s="1" t="str">
        <f>IFERROR(__xludf.DUMMYFUNCTION("""COMPUTED_VALUE"""),"ECCW")</f>
        <v>ECCW</v>
      </c>
    </row>
    <row r="778">
      <c r="A778" s="1" t="str">
        <f>IFERROR(__xludf.DUMMYFUNCTION("""COMPUTED_VALUE"""),"ECCX")</f>
        <v>ECCX</v>
      </c>
    </row>
    <row r="779">
      <c r="A779" s="1" t="str">
        <f>IFERROR(__xludf.DUMMYFUNCTION("""COMPUTED_VALUE"""),"ECCY")</f>
        <v>ECCY</v>
      </c>
    </row>
    <row r="780">
      <c r="A780" s="1" t="str">
        <f>IFERROR(__xludf.DUMMYFUNCTION("""COMPUTED_VALUE"""),"ECL")</f>
        <v>ECL</v>
      </c>
    </row>
    <row r="781">
      <c r="A781" s="1" t="str">
        <f>IFERROR(__xludf.DUMMYFUNCTION("""COMPUTED_VALUE"""),"ECOM")</f>
        <v>ECOM</v>
      </c>
    </row>
    <row r="782">
      <c r="A782" s="1" t="str">
        <f>IFERROR(__xludf.DUMMYFUNCTION("""COMPUTED_VALUE"""),"ECVT")</f>
        <v>ECVT</v>
      </c>
    </row>
    <row r="783">
      <c r="A783" s="1" t="str">
        <f>IFERROR(__xludf.DUMMYFUNCTION("""COMPUTED_VALUE"""),"ED")</f>
        <v>ED</v>
      </c>
    </row>
    <row r="784">
      <c r="A784" s="1" t="str">
        <f>IFERROR(__xludf.DUMMYFUNCTION("""COMPUTED_VALUE"""),"EDD")</f>
        <v>EDD</v>
      </c>
    </row>
    <row r="785">
      <c r="A785" s="1" t="str">
        <f>IFERROR(__xludf.DUMMYFUNCTION("""COMPUTED_VALUE"""),"EDF")</f>
        <v>EDF</v>
      </c>
    </row>
    <row r="786">
      <c r="A786" s="1" t="str">
        <f>IFERROR(__xludf.DUMMYFUNCTION("""COMPUTED_VALUE"""),"EDI")</f>
        <v>EDI</v>
      </c>
    </row>
    <row r="787">
      <c r="A787" s="1" t="str">
        <f>IFERROR(__xludf.DUMMYFUNCTION("""COMPUTED_VALUE"""),"EDN")</f>
        <v>EDN</v>
      </c>
    </row>
    <row r="788">
      <c r="A788" s="1" t="str">
        <f>IFERROR(__xludf.DUMMYFUNCTION("""COMPUTED_VALUE"""),"EDR")</f>
        <v>EDR</v>
      </c>
    </row>
    <row r="789">
      <c r="A789" s="1" t="str">
        <f>IFERROR(__xludf.DUMMYFUNCTION("""COMPUTED_VALUE"""),"EDU")</f>
        <v>EDU</v>
      </c>
    </row>
    <row r="790">
      <c r="A790" s="1" t="str">
        <f>IFERROR(__xludf.DUMMYFUNCTION("""COMPUTED_VALUE"""),"EEA")</f>
        <v>EEA</v>
      </c>
    </row>
    <row r="791">
      <c r="A791" s="1" t="str">
        <f>IFERROR(__xludf.DUMMYFUNCTION("""COMPUTED_VALUE"""),"EEX")</f>
        <v>EEX</v>
      </c>
    </row>
    <row r="792">
      <c r="A792" s="1" t="str">
        <f>IFERROR(__xludf.DUMMYFUNCTION("""COMPUTED_VALUE"""),"EFC")</f>
        <v>EFC</v>
      </c>
    </row>
    <row r="793">
      <c r="A793" s="1" t="str">
        <f>IFERROR(__xludf.DUMMYFUNCTION("""COMPUTED_VALUE"""),"EFL")</f>
        <v>EFL</v>
      </c>
    </row>
    <row r="794">
      <c r="A794" s="1" t="str">
        <f>IFERROR(__xludf.DUMMYFUNCTION("""COMPUTED_VALUE"""),"EFR")</f>
        <v>EFR</v>
      </c>
    </row>
    <row r="795">
      <c r="A795" s="1" t="str">
        <f>IFERROR(__xludf.DUMMYFUNCTION("""COMPUTED_VALUE"""),"EFT")</f>
        <v>EFT</v>
      </c>
    </row>
    <row r="796">
      <c r="A796" s="1" t="str">
        <f>IFERROR(__xludf.DUMMYFUNCTION("""COMPUTED_VALUE"""),"EFX")</f>
        <v>EFX</v>
      </c>
    </row>
    <row r="797">
      <c r="A797" s="1" t="str">
        <f>IFERROR(__xludf.DUMMYFUNCTION("""COMPUTED_VALUE"""),"EGF")</f>
        <v>EGF</v>
      </c>
    </row>
    <row r="798">
      <c r="A798" s="1" t="str">
        <f>IFERROR(__xludf.DUMMYFUNCTION("""COMPUTED_VALUE"""),"EGHT")</f>
        <v>EGHT</v>
      </c>
    </row>
    <row r="799">
      <c r="A799" s="1" t="str">
        <f>IFERROR(__xludf.DUMMYFUNCTION("""COMPUTED_VALUE"""),"EGO")</f>
        <v>EGO</v>
      </c>
    </row>
    <row r="800">
      <c r="A800" s="1" t="str">
        <f>IFERROR(__xludf.DUMMYFUNCTION("""COMPUTED_VALUE"""),"EGP")</f>
        <v>EGP</v>
      </c>
    </row>
    <row r="801">
      <c r="A801" s="1" t="str">
        <f>IFERROR(__xludf.DUMMYFUNCTION("""COMPUTED_VALUE"""),"EGY")</f>
        <v>EGY</v>
      </c>
    </row>
    <row r="802">
      <c r="A802" s="1" t="str">
        <f>IFERROR(__xludf.DUMMYFUNCTION("""COMPUTED_VALUE"""),"EHC")</f>
        <v>EHC</v>
      </c>
    </row>
    <row r="803">
      <c r="A803" s="1" t="str">
        <f>IFERROR(__xludf.DUMMYFUNCTION("""COMPUTED_VALUE"""),"EHI")</f>
        <v>EHI</v>
      </c>
    </row>
    <row r="804">
      <c r="A804" s="1" t="str">
        <f>IFERROR(__xludf.DUMMYFUNCTION("""COMPUTED_VALUE"""),"EIC")</f>
        <v>EIC</v>
      </c>
    </row>
    <row r="805">
      <c r="A805" s="1" t="str">
        <f>IFERROR(__xludf.DUMMYFUNCTION("""COMPUTED_VALUE"""),"EIG")</f>
        <v>EIG</v>
      </c>
    </row>
    <row r="806">
      <c r="A806" s="1" t="str">
        <f>IFERROR(__xludf.DUMMYFUNCTION("""COMPUTED_VALUE"""),"EIX")</f>
        <v>EIX</v>
      </c>
    </row>
    <row r="807">
      <c r="A807" s="1" t="str">
        <f>IFERROR(__xludf.DUMMYFUNCTION("""COMPUTED_VALUE"""),"EL")</f>
        <v>EL</v>
      </c>
    </row>
    <row r="808">
      <c r="A808" s="1" t="str">
        <f>IFERROR(__xludf.DUMMYFUNCTION("""COMPUTED_VALUE"""),"ELAN")</f>
        <v>ELAN</v>
      </c>
    </row>
    <row r="809">
      <c r="A809" s="1" t="str">
        <f>IFERROR(__xludf.DUMMYFUNCTION("""COMPUTED_VALUE"""),"ELAT")</f>
        <v>ELAT</v>
      </c>
    </row>
    <row r="810">
      <c r="A810" s="1" t="str">
        <f>IFERROR(__xludf.DUMMYFUNCTION("""COMPUTED_VALUE"""),"ELC")</f>
        <v>ELC</v>
      </c>
    </row>
    <row r="811">
      <c r="A811" s="1" t="str">
        <f>IFERROR(__xludf.DUMMYFUNCTION("""COMPUTED_VALUE"""),"ELF")</f>
        <v>ELF</v>
      </c>
    </row>
    <row r="812">
      <c r="A812" s="1" t="str">
        <f>IFERROR(__xludf.DUMMYFUNCTION("""COMPUTED_VALUE"""),"ELP")</f>
        <v>ELP</v>
      </c>
    </row>
    <row r="813">
      <c r="A813" s="1" t="str">
        <f>IFERROR(__xludf.DUMMYFUNCTION("""COMPUTED_VALUE"""),"ELS")</f>
        <v>ELS</v>
      </c>
    </row>
    <row r="814">
      <c r="A814" s="1" t="str">
        <f>IFERROR(__xludf.DUMMYFUNCTION("""COMPUTED_VALUE"""),"ELVT")</f>
        <v>ELVT</v>
      </c>
    </row>
    <row r="815">
      <c r="A815" s="1" t="str">
        <f>IFERROR(__xludf.DUMMYFUNCTION("""COMPUTED_VALUE"""),"ELY")</f>
        <v>ELY</v>
      </c>
    </row>
    <row r="816">
      <c r="A816" s="1" t="str">
        <f>IFERROR(__xludf.DUMMYFUNCTION("""COMPUTED_VALUE"""),"EMD")</f>
        <v>EMD</v>
      </c>
    </row>
    <row r="817">
      <c r="A817" s="1" t="str">
        <f>IFERROR(__xludf.DUMMYFUNCTION("""COMPUTED_VALUE"""),"EME")</f>
        <v>EME</v>
      </c>
    </row>
    <row r="818">
      <c r="A818" s="1" t="str">
        <f>IFERROR(__xludf.DUMMYFUNCTION("""COMPUTED_VALUE"""),"EMF")</f>
        <v>EMF</v>
      </c>
    </row>
    <row r="819">
      <c r="A819" s="1" t="str">
        <f>IFERROR(__xludf.DUMMYFUNCTION("""COMPUTED_VALUE"""),"EMN")</f>
        <v>EMN</v>
      </c>
    </row>
    <row r="820">
      <c r="A820" s="1" t="str">
        <f>IFERROR(__xludf.DUMMYFUNCTION("""COMPUTED_VALUE"""),"EMO")</f>
        <v>EMO</v>
      </c>
    </row>
    <row r="821">
      <c r="A821" s="1" t="str">
        <f>IFERROR(__xludf.DUMMYFUNCTION("""COMPUTED_VALUE"""),"EMP")</f>
        <v>EMP</v>
      </c>
    </row>
    <row r="822">
      <c r="A822" s="1" t="str">
        <f>IFERROR(__xludf.DUMMYFUNCTION("""COMPUTED_VALUE"""),"EMR")</f>
        <v>EMR</v>
      </c>
    </row>
    <row r="823">
      <c r="A823" s="1" t="str">
        <f>IFERROR(__xludf.DUMMYFUNCTION("""COMPUTED_VALUE"""),"ENB")</f>
        <v>ENB</v>
      </c>
    </row>
    <row r="824">
      <c r="A824" s="1" t="str">
        <f>IFERROR(__xludf.DUMMYFUNCTION("""COMPUTED_VALUE"""),"ENBA")</f>
        <v>ENBA</v>
      </c>
    </row>
    <row r="825">
      <c r="A825" s="1" t="str">
        <f>IFERROR(__xludf.DUMMYFUNCTION("""COMPUTED_VALUE"""),"ENBL")</f>
        <v>ENBL</v>
      </c>
    </row>
    <row r="826">
      <c r="A826" s="1" t="str">
        <f>IFERROR(__xludf.DUMMYFUNCTION("""COMPUTED_VALUE"""),"ENIA")</f>
        <v>ENIA</v>
      </c>
    </row>
    <row r="827">
      <c r="A827" s="1" t="str">
        <f>IFERROR(__xludf.DUMMYFUNCTION("""COMPUTED_VALUE"""),"ENIC")</f>
        <v>ENIC</v>
      </c>
    </row>
    <row r="828">
      <c r="A828" s="1" t="str">
        <f>IFERROR(__xludf.DUMMYFUNCTION("""COMPUTED_VALUE"""),"ENJ")</f>
        <v>ENJ</v>
      </c>
    </row>
    <row r="829">
      <c r="A829" s="1" t="str">
        <f>IFERROR(__xludf.DUMMYFUNCTION("""COMPUTED_VALUE"""),"ENLC")</f>
        <v>ENLC</v>
      </c>
    </row>
    <row r="830">
      <c r="A830" s="1" t="str">
        <f>IFERROR(__xludf.DUMMYFUNCTION("""COMPUTED_VALUE"""),"ENO")</f>
        <v>ENO</v>
      </c>
    </row>
    <row r="831">
      <c r="A831" s="1" t="str">
        <f>IFERROR(__xludf.DUMMYFUNCTION("""COMPUTED_VALUE"""),"ENPC")</f>
        <v>ENPC</v>
      </c>
    </row>
    <row r="832">
      <c r="A832" s="1" t="str">
        <f>IFERROR(__xludf.DUMMYFUNCTION("""COMPUTED_VALUE"""),"ENR")</f>
        <v>ENR</v>
      </c>
    </row>
    <row r="833">
      <c r="A833" s="1" t="str">
        <f>IFERROR(__xludf.DUMMYFUNCTION("""COMPUTED_VALUE"""),"ENS")</f>
        <v>ENS</v>
      </c>
    </row>
    <row r="834">
      <c r="A834" s="1" t="str">
        <f>IFERROR(__xludf.DUMMYFUNCTION("""COMPUTED_VALUE"""),"ENV")</f>
        <v>ENV</v>
      </c>
    </row>
    <row r="835">
      <c r="A835" s="1" t="str">
        <f>IFERROR(__xludf.DUMMYFUNCTION("""COMPUTED_VALUE"""),"ENVA")</f>
        <v>ENVA</v>
      </c>
    </row>
    <row r="836">
      <c r="A836" s="1" t="str">
        <f>IFERROR(__xludf.DUMMYFUNCTION("""COMPUTED_VALUE"""),"ENZ")</f>
        <v>ENZ</v>
      </c>
    </row>
    <row r="837">
      <c r="A837" s="1" t="str">
        <f>IFERROR(__xludf.DUMMYFUNCTION("""COMPUTED_VALUE"""),"EOD")</f>
        <v>EOD</v>
      </c>
    </row>
    <row r="838">
      <c r="A838" s="1" t="str">
        <f>IFERROR(__xludf.DUMMYFUNCTION("""COMPUTED_VALUE"""),"EOG")</f>
        <v>EOG</v>
      </c>
    </row>
    <row r="839">
      <c r="A839" s="1" t="str">
        <f>IFERROR(__xludf.DUMMYFUNCTION("""COMPUTED_VALUE"""),"EOI")</f>
        <v>EOI</v>
      </c>
    </row>
    <row r="840">
      <c r="A840" s="1" t="str">
        <f>IFERROR(__xludf.DUMMYFUNCTION("""COMPUTED_VALUE"""),"EOS")</f>
        <v>EOS</v>
      </c>
    </row>
    <row r="841">
      <c r="A841" s="1" t="str">
        <f>IFERROR(__xludf.DUMMYFUNCTION("""COMPUTED_VALUE"""),"EOT")</f>
        <v>EOT</v>
      </c>
    </row>
    <row r="842">
      <c r="A842" s="1" t="str">
        <f>IFERROR(__xludf.DUMMYFUNCTION("""COMPUTED_VALUE"""),"EPAC")</f>
        <v>EPAC</v>
      </c>
    </row>
    <row r="843">
      <c r="A843" s="1" t="str">
        <f>IFERROR(__xludf.DUMMYFUNCTION("""COMPUTED_VALUE"""),"EPAM")</f>
        <v>EPAM</v>
      </c>
    </row>
    <row r="844">
      <c r="A844" s="1" t="str">
        <f>IFERROR(__xludf.DUMMYFUNCTION("""COMPUTED_VALUE"""),"EPC")</f>
        <v>EPC</v>
      </c>
    </row>
    <row r="845">
      <c r="A845" s="1" t="str">
        <f>IFERROR(__xludf.DUMMYFUNCTION("""COMPUTED_VALUE"""),"EPD")</f>
        <v>EPD</v>
      </c>
    </row>
    <row r="846">
      <c r="A846" s="1" t="str">
        <f>IFERROR(__xludf.DUMMYFUNCTION("""COMPUTED_VALUE"""),"EPR")</f>
        <v>EPR</v>
      </c>
    </row>
    <row r="847">
      <c r="A847" s="1" t="str">
        <f>IFERROR(__xludf.DUMMYFUNCTION("""COMPUTED_VALUE"""),"EPRT")</f>
        <v>EPRT</v>
      </c>
    </row>
    <row r="848">
      <c r="A848" s="1" t="str">
        <f>IFERROR(__xludf.DUMMYFUNCTION("""COMPUTED_VALUE"""),"EPWR")</f>
        <v>EPWR</v>
      </c>
    </row>
    <row r="849">
      <c r="A849" s="1" t="str">
        <f>IFERROR(__xludf.DUMMYFUNCTION("""COMPUTED_VALUE"""),"EQC")</f>
        <v>EQC</v>
      </c>
    </row>
    <row r="850">
      <c r="A850" s="1" t="str">
        <f>IFERROR(__xludf.DUMMYFUNCTION("""COMPUTED_VALUE"""),"EQD")</f>
        <v>EQD</v>
      </c>
    </row>
    <row r="851">
      <c r="A851" s="1" t="str">
        <f>IFERROR(__xludf.DUMMYFUNCTION("""COMPUTED_VALUE"""),"EQH")</f>
        <v>EQH</v>
      </c>
    </row>
    <row r="852">
      <c r="A852" s="1" t="str">
        <f>IFERROR(__xludf.DUMMYFUNCTION("""COMPUTED_VALUE"""),"EQNR")</f>
        <v>EQNR</v>
      </c>
    </row>
    <row r="853">
      <c r="A853" s="1" t="str">
        <f>IFERROR(__xludf.DUMMYFUNCTION("""COMPUTED_VALUE"""),"EQR")</f>
        <v>EQR</v>
      </c>
    </row>
    <row r="854">
      <c r="A854" s="1" t="str">
        <f>IFERROR(__xludf.DUMMYFUNCTION("""COMPUTED_VALUE"""),"EQS")</f>
        <v>EQS</v>
      </c>
    </row>
    <row r="855">
      <c r="A855" s="1" t="str">
        <f>IFERROR(__xludf.DUMMYFUNCTION("""COMPUTED_VALUE"""),"EQT")</f>
        <v>EQT</v>
      </c>
    </row>
    <row r="856">
      <c r="A856" s="1" t="str">
        <f>IFERROR(__xludf.DUMMYFUNCTION("""COMPUTED_VALUE"""),"ERF")</f>
        <v>ERF</v>
      </c>
    </row>
    <row r="857">
      <c r="A857" s="1" t="str">
        <f>IFERROR(__xludf.DUMMYFUNCTION("""COMPUTED_VALUE"""),"ERJ")</f>
        <v>ERJ</v>
      </c>
    </row>
    <row r="858">
      <c r="A858" s="1" t="str">
        <f>IFERROR(__xludf.DUMMYFUNCTION("""COMPUTED_VALUE"""),"ERO")</f>
        <v>ERO</v>
      </c>
    </row>
    <row r="859">
      <c r="A859" s="1" t="str">
        <f>IFERROR(__xludf.DUMMYFUNCTION("""COMPUTED_VALUE"""),"ES")</f>
        <v>ES</v>
      </c>
    </row>
    <row r="860">
      <c r="A860" s="1" t="str">
        <f>IFERROR(__xludf.DUMMYFUNCTION("""COMPUTED_VALUE"""),"ESE")</f>
        <v>ESE</v>
      </c>
    </row>
    <row r="861">
      <c r="A861" s="1" t="str">
        <f>IFERROR(__xludf.DUMMYFUNCTION("""COMPUTED_VALUE"""),"ESGC")</f>
        <v>ESGC</v>
      </c>
    </row>
    <row r="862">
      <c r="A862" s="1" t="str">
        <f>IFERROR(__xludf.DUMMYFUNCTION("""COMPUTED_VALUE"""),"ESI")</f>
        <v>ESI</v>
      </c>
    </row>
    <row r="863">
      <c r="A863" s="1" t="str">
        <f>IFERROR(__xludf.DUMMYFUNCTION("""COMPUTED_VALUE"""),"ESM")</f>
        <v>ESM</v>
      </c>
    </row>
    <row r="864">
      <c r="A864" s="1" t="str">
        <f>IFERROR(__xludf.DUMMYFUNCTION("""COMPUTED_VALUE"""),"ESNT")</f>
        <v>ESNT</v>
      </c>
    </row>
    <row r="865">
      <c r="A865" s="1" t="str">
        <f>IFERROR(__xludf.DUMMYFUNCTION("""COMPUTED_VALUE"""),"ESRT")</f>
        <v>ESRT</v>
      </c>
    </row>
    <row r="866">
      <c r="A866" s="1" t="str">
        <f>IFERROR(__xludf.DUMMYFUNCTION("""COMPUTED_VALUE"""),"ESS")</f>
        <v>ESS</v>
      </c>
    </row>
    <row r="867">
      <c r="A867" s="1" t="str">
        <f>IFERROR(__xludf.DUMMYFUNCTION("""COMPUTED_VALUE"""),"ESTC")</f>
        <v>ESTC</v>
      </c>
    </row>
    <row r="868">
      <c r="A868" s="1" t="str">
        <f>IFERROR(__xludf.DUMMYFUNCTION("""COMPUTED_VALUE"""),"ESTE")</f>
        <v>ESTE</v>
      </c>
    </row>
    <row r="869">
      <c r="A869" s="1" t="str">
        <f>IFERROR(__xludf.DUMMYFUNCTION("""COMPUTED_VALUE"""),"ET")</f>
        <v>ET</v>
      </c>
    </row>
    <row r="870">
      <c r="A870" s="1" t="str">
        <f>IFERROR(__xludf.DUMMYFUNCTION("""COMPUTED_VALUE"""),"ETB")</f>
        <v>ETB</v>
      </c>
    </row>
    <row r="871">
      <c r="A871" s="1" t="str">
        <f>IFERROR(__xludf.DUMMYFUNCTION("""COMPUTED_VALUE"""),"ETG")</f>
        <v>ETG</v>
      </c>
    </row>
    <row r="872">
      <c r="A872" s="1" t="str">
        <f>IFERROR(__xludf.DUMMYFUNCTION("""COMPUTED_VALUE"""),"ETH")</f>
        <v>ETH</v>
      </c>
    </row>
    <row r="873">
      <c r="A873" s="1" t="str">
        <f>IFERROR(__xludf.DUMMYFUNCTION("""COMPUTED_VALUE"""),"ETJ")</f>
        <v>ETJ</v>
      </c>
    </row>
    <row r="874">
      <c r="A874" s="1" t="str">
        <f>IFERROR(__xludf.DUMMYFUNCTION("""COMPUTED_VALUE"""),"ETN")</f>
        <v>ETN</v>
      </c>
    </row>
    <row r="875">
      <c r="A875" s="1" t="str">
        <f>IFERROR(__xludf.DUMMYFUNCTION("""COMPUTED_VALUE"""),"ETO")</f>
        <v>ETO</v>
      </c>
    </row>
    <row r="876">
      <c r="A876" s="1" t="str">
        <f>IFERROR(__xludf.DUMMYFUNCTION("""COMPUTED_VALUE"""),"ETR")</f>
        <v>ETR</v>
      </c>
    </row>
    <row r="877">
      <c r="A877" s="1" t="str">
        <f>IFERROR(__xludf.DUMMYFUNCTION("""COMPUTED_VALUE"""),"ETRN")</f>
        <v>ETRN</v>
      </c>
    </row>
    <row r="878">
      <c r="A878" s="1" t="str">
        <f>IFERROR(__xludf.DUMMYFUNCTION("""COMPUTED_VALUE"""),"ETV")</f>
        <v>ETV</v>
      </c>
    </row>
    <row r="879">
      <c r="A879" s="1" t="str">
        <f>IFERROR(__xludf.DUMMYFUNCTION("""COMPUTED_VALUE"""),"ETW")</f>
        <v>ETW</v>
      </c>
    </row>
    <row r="880">
      <c r="A880" s="1" t="str">
        <f>IFERROR(__xludf.DUMMYFUNCTION("""COMPUTED_VALUE"""),"ETWO")</f>
        <v>ETWO</v>
      </c>
    </row>
    <row r="881">
      <c r="A881" s="1" t="str">
        <f>IFERROR(__xludf.DUMMYFUNCTION("""COMPUTED_VALUE"""),"ETX")</f>
        <v>ETX</v>
      </c>
    </row>
    <row r="882">
      <c r="A882" s="1" t="str">
        <f>IFERROR(__xludf.DUMMYFUNCTION("""COMPUTED_VALUE"""),"ETY")</f>
        <v>ETY</v>
      </c>
    </row>
    <row r="883">
      <c r="A883" s="1" t="str">
        <f>IFERROR(__xludf.DUMMYFUNCTION("""COMPUTED_VALUE"""),"EURN")</f>
        <v>EURN</v>
      </c>
    </row>
    <row r="884">
      <c r="A884" s="1" t="str">
        <f>IFERROR(__xludf.DUMMYFUNCTION("""COMPUTED_VALUE"""),"EVA")</f>
        <v>EVA</v>
      </c>
    </row>
    <row r="885">
      <c r="A885" s="1" t="str">
        <f>IFERROR(__xludf.DUMMYFUNCTION("""COMPUTED_VALUE"""),"EVC")</f>
        <v>EVC</v>
      </c>
    </row>
    <row r="886">
      <c r="A886" s="1" t="str">
        <f>IFERROR(__xludf.DUMMYFUNCTION("""COMPUTED_VALUE"""),"EVF")</f>
        <v>EVF</v>
      </c>
    </row>
    <row r="887">
      <c r="A887" s="1" t="str">
        <f>IFERROR(__xludf.DUMMYFUNCTION("""COMPUTED_VALUE"""),"EVG")</f>
        <v>EVG</v>
      </c>
    </row>
    <row r="888">
      <c r="A888" s="1" t="str">
        <f>IFERROR(__xludf.DUMMYFUNCTION("""COMPUTED_VALUE"""),"EVH")</f>
        <v>EVH</v>
      </c>
    </row>
    <row r="889">
      <c r="A889" s="1" t="str">
        <f>IFERROR(__xludf.DUMMYFUNCTION("""COMPUTED_VALUE"""),"EVN")</f>
        <v>EVN</v>
      </c>
    </row>
    <row r="890">
      <c r="A890" s="1" t="str">
        <f>IFERROR(__xludf.DUMMYFUNCTION("""COMPUTED_VALUE"""),"EVR")</f>
        <v>EVR</v>
      </c>
    </row>
    <row r="891">
      <c r="A891" s="1" t="str">
        <f>IFERROR(__xludf.DUMMYFUNCTION("""COMPUTED_VALUE"""),"EVRG")</f>
        <v>EVRG</v>
      </c>
    </row>
    <row r="892">
      <c r="A892" s="1" t="str">
        <f>IFERROR(__xludf.DUMMYFUNCTION("""COMPUTED_VALUE"""),"EVRI")</f>
        <v>EVRI</v>
      </c>
    </row>
    <row r="893">
      <c r="A893" s="1" t="str">
        <f>IFERROR(__xludf.DUMMYFUNCTION("""COMPUTED_VALUE"""),"EVT")</f>
        <v>EVT</v>
      </c>
    </row>
    <row r="894">
      <c r="A894" s="1" t="str">
        <f>IFERROR(__xludf.DUMMYFUNCTION("""COMPUTED_VALUE"""),"EVTC")</f>
        <v>EVTC</v>
      </c>
    </row>
    <row r="895">
      <c r="A895" s="1" t="str">
        <f>IFERROR(__xludf.DUMMYFUNCTION("""COMPUTED_VALUE"""),"EW")</f>
        <v>EW</v>
      </c>
    </row>
    <row r="896">
      <c r="A896" s="1" t="str">
        <f>IFERROR(__xludf.DUMMYFUNCTION("""COMPUTED_VALUE"""),"EXD")</f>
        <v>EXD</v>
      </c>
    </row>
    <row r="897">
      <c r="A897" s="1" t="str">
        <f>IFERROR(__xludf.DUMMYFUNCTION("""COMPUTED_VALUE"""),"EXG")</f>
        <v>EXG</v>
      </c>
    </row>
    <row r="898">
      <c r="A898" s="1" t="str">
        <f>IFERROR(__xludf.DUMMYFUNCTION("""COMPUTED_VALUE"""),"EXK")</f>
        <v>EXK</v>
      </c>
    </row>
    <row r="899">
      <c r="A899" s="1" t="str">
        <f>IFERROR(__xludf.DUMMYFUNCTION("""COMPUTED_VALUE"""),"EXP")</f>
        <v>EXP</v>
      </c>
    </row>
    <row r="900">
      <c r="A900" s="1" t="str">
        <f>IFERROR(__xludf.DUMMYFUNCTION("""COMPUTED_VALUE"""),"EXPR")</f>
        <v>EXPR</v>
      </c>
    </row>
    <row r="901">
      <c r="A901" s="1" t="str">
        <f>IFERROR(__xludf.DUMMYFUNCTION("""COMPUTED_VALUE"""),"EXR")</f>
        <v>EXR</v>
      </c>
    </row>
    <row r="902">
      <c r="A902" s="1" t="str">
        <f>IFERROR(__xludf.DUMMYFUNCTION("""COMPUTED_VALUE"""),"EXTN")</f>
        <v>EXTN</v>
      </c>
    </row>
    <row r="903">
      <c r="A903" s="1" t="str">
        <f>IFERROR(__xludf.DUMMYFUNCTION("""COMPUTED_VALUE"""),"F")</f>
        <v>F</v>
      </c>
    </row>
    <row r="904">
      <c r="A904" s="1" t="str">
        <f>IFERROR(__xludf.DUMMYFUNCTION("""COMPUTED_VALUE"""),"FACA")</f>
        <v>FACA</v>
      </c>
    </row>
    <row r="905">
      <c r="A905" s="1" t="str">
        <f>IFERROR(__xludf.DUMMYFUNCTION("""COMPUTED_VALUE"""),"FACT")</f>
        <v>FACT</v>
      </c>
    </row>
    <row r="906">
      <c r="A906" s="1" t="str">
        <f>IFERROR(__xludf.DUMMYFUNCTION("""COMPUTED_VALUE"""),"FAF")</f>
        <v>FAF</v>
      </c>
    </row>
    <row r="907">
      <c r="A907" s="1" t="str">
        <f>IFERROR(__xludf.DUMMYFUNCTION("""COMPUTED_VALUE"""),"FAM")</f>
        <v>FAM</v>
      </c>
    </row>
    <row r="908">
      <c r="A908" s="1" t="str">
        <f>IFERROR(__xludf.DUMMYFUNCTION("""COMPUTED_VALUE"""),"FBC")</f>
        <v>FBC</v>
      </c>
    </row>
    <row r="909">
      <c r="A909" s="1" t="str">
        <f>IFERROR(__xludf.DUMMYFUNCTION("""COMPUTED_VALUE"""),"FBHS")</f>
        <v>FBHS</v>
      </c>
    </row>
    <row r="910">
      <c r="A910" s="1" t="str">
        <f>IFERROR(__xludf.DUMMYFUNCTION("""COMPUTED_VALUE"""),"FBK")</f>
        <v>FBK</v>
      </c>
    </row>
    <row r="911">
      <c r="A911" s="1" t="str">
        <f>IFERROR(__xludf.DUMMYFUNCTION("""COMPUTED_VALUE"""),"FBP")</f>
        <v>FBP</v>
      </c>
    </row>
    <row r="912">
      <c r="A912" s="1" t="str">
        <f>IFERROR(__xludf.DUMMYFUNCTION("""COMPUTED_VALUE"""),"FC")</f>
        <v>FC</v>
      </c>
    </row>
    <row r="913">
      <c r="A913" s="1" t="str">
        <f>IFERROR(__xludf.DUMMYFUNCTION("""COMPUTED_VALUE"""),"FCAX")</f>
        <v>FCAX</v>
      </c>
    </row>
    <row r="914">
      <c r="A914" s="1" t="str">
        <f>IFERROR(__xludf.DUMMYFUNCTION("""COMPUTED_VALUE"""),"FCF")</f>
        <v>FCF</v>
      </c>
    </row>
    <row r="915">
      <c r="A915" s="1" t="str">
        <f>IFERROR(__xludf.DUMMYFUNCTION("""COMPUTED_VALUE"""),"FCN")</f>
        <v>FCN</v>
      </c>
    </row>
    <row r="916">
      <c r="A916" s="1" t="str">
        <f>IFERROR(__xludf.DUMMYFUNCTION("""COMPUTED_VALUE"""),"FCPT")</f>
        <v>FCPT</v>
      </c>
    </row>
    <row r="917">
      <c r="A917" s="1" t="str">
        <f>IFERROR(__xludf.DUMMYFUNCTION("""COMPUTED_VALUE"""),"FCRX")</f>
        <v>FCRX</v>
      </c>
    </row>
    <row r="918">
      <c r="A918" s="1" t="str">
        <f>IFERROR(__xludf.DUMMYFUNCTION("""COMPUTED_VALUE"""),"FCT")</f>
        <v>FCT</v>
      </c>
    </row>
    <row r="919">
      <c r="A919" s="1" t="str">
        <f>IFERROR(__xludf.DUMMYFUNCTION("""COMPUTED_VALUE"""),"FCX")</f>
        <v>FCX</v>
      </c>
    </row>
    <row r="920">
      <c r="A920" s="1" t="str">
        <f>IFERROR(__xludf.DUMMYFUNCTION("""COMPUTED_VALUE"""),"FDEU")</f>
        <v>FDEU</v>
      </c>
    </row>
    <row r="921">
      <c r="A921" s="1" t="str">
        <f>IFERROR(__xludf.DUMMYFUNCTION("""COMPUTED_VALUE"""),"FDP")</f>
        <v>FDP</v>
      </c>
    </row>
    <row r="922">
      <c r="A922" s="1" t="str">
        <f>IFERROR(__xludf.DUMMYFUNCTION("""COMPUTED_VALUE"""),"FDX")</f>
        <v>FDX</v>
      </c>
    </row>
    <row r="923">
      <c r="A923" s="1" t="str">
        <f>IFERROR(__xludf.DUMMYFUNCTION("""COMPUTED_VALUE"""),"FE")</f>
        <v>FE</v>
      </c>
    </row>
    <row r="924">
      <c r="A924" s="1" t="str">
        <f>IFERROR(__xludf.DUMMYFUNCTION("""COMPUTED_VALUE"""),"FEDU")</f>
        <v>FEDU</v>
      </c>
    </row>
    <row r="925">
      <c r="A925" s="1" t="str">
        <f>IFERROR(__xludf.DUMMYFUNCTION("""COMPUTED_VALUE"""),"FEI")</f>
        <v>FEI</v>
      </c>
    </row>
    <row r="926">
      <c r="A926" s="1" t="str">
        <f>IFERROR(__xludf.DUMMYFUNCTION("""COMPUTED_VALUE"""),"FENG")</f>
        <v>FENG</v>
      </c>
    </row>
    <row r="927">
      <c r="A927" s="1" t="str">
        <f>IFERROR(__xludf.DUMMYFUNCTION("""COMPUTED_VALUE"""),"FEO")</f>
        <v>FEO</v>
      </c>
    </row>
    <row r="928">
      <c r="A928" s="1" t="str">
        <f>IFERROR(__xludf.DUMMYFUNCTION("""COMPUTED_VALUE"""),"FERG")</f>
        <v>FERG</v>
      </c>
    </row>
    <row r="929">
      <c r="A929" s="1" t="str">
        <f>IFERROR(__xludf.DUMMYFUNCTION("""COMPUTED_VALUE"""),"FET")</f>
        <v>FET</v>
      </c>
    </row>
    <row r="930">
      <c r="A930" s="1" t="str">
        <f>IFERROR(__xludf.DUMMYFUNCTION("""COMPUTED_VALUE"""),"FF")</f>
        <v>FF</v>
      </c>
    </row>
    <row r="931">
      <c r="A931" s="1" t="str">
        <f>IFERROR(__xludf.DUMMYFUNCTION("""COMPUTED_VALUE"""),"FFA")</f>
        <v>FFA</v>
      </c>
    </row>
    <row r="932">
      <c r="A932" s="1" t="str">
        <f>IFERROR(__xludf.DUMMYFUNCTION("""COMPUTED_VALUE"""),"FFC")</f>
        <v>FFC</v>
      </c>
    </row>
    <row r="933">
      <c r="A933" s="1" t="str">
        <f>IFERROR(__xludf.DUMMYFUNCTION("""COMPUTED_VALUE"""),"FGB")</f>
        <v>FGB</v>
      </c>
    </row>
    <row r="934">
      <c r="A934" s="1" t="str">
        <f>IFERROR(__xludf.DUMMYFUNCTION("""COMPUTED_VALUE"""),"FHI")</f>
        <v>FHI</v>
      </c>
    </row>
    <row r="935">
      <c r="A935" s="1" t="str">
        <f>IFERROR(__xludf.DUMMYFUNCTION("""COMPUTED_VALUE"""),"FHN")</f>
        <v>FHN</v>
      </c>
    </row>
    <row r="936">
      <c r="A936" s="1" t="str">
        <f>IFERROR(__xludf.DUMMYFUNCTION("""COMPUTED_VALUE"""),"FHS")</f>
        <v>FHS</v>
      </c>
    </row>
    <row r="937">
      <c r="A937" s="1" t="str">
        <f>IFERROR(__xludf.DUMMYFUNCTION("""COMPUTED_VALUE"""),"FI")</f>
        <v>FI</v>
      </c>
    </row>
    <row r="938">
      <c r="A938" s="1" t="str">
        <f>IFERROR(__xludf.DUMMYFUNCTION("""COMPUTED_VALUE"""),"FICO")</f>
        <v>FICO</v>
      </c>
    </row>
    <row r="939">
      <c r="A939" s="1" t="str">
        <f>IFERROR(__xludf.DUMMYFUNCTION("""COMPUTED_VALUE"""),"FIF")</f>
        <v>FIF</v>
      </c>
    </row>
    <row r="940">
      <c r="A940" s="1" t="str">
        <f>IFERROR(__xludf.DUMMYFUNCTION("""COMPUTED_VALUE"""),"FIGS")</f>
        <v>FIGS</v>
      </c>
    </row>
    <row r="941">
      <c r="A941" s="1" t="str">
        <f>IFERROR(__xludf.DUMMYFUNCTION("""COMPUTED_VALUE"""),"FINS")</f>
        <v>FINS</v>
      </c>
    </row>
    <row r="942">
      <c r="A942" s="1" t="str">
        <f>IFERROR(__xludf.DUMMYFUNCTION("""COMPUTED_VALUE"""),"FINV")</f>
        <v>FINV</v>
      </c>
    </row>
    <row r="943">
      <c r="A943" s="1" t="str">
        <f>IFERROR(__xludf.DUMMYFUNCTION("""COMPUTED_VALUE"""),"FIS")</f>
        <v>FIS</v>
      </c>
    </row>
    <row r="944">
      <c r="A944" s="1" t="str">
        <f>IFERROR(__xludf.DUMMYFUNCTION("""COMPUTED_VALUE"""),"FIV")</f>
        <v>FIV</v>
      </c>
    </row>
    <row r="945">
      <c r="A945" s="1" t="str">
        <f>IFERROR(__xludf.DUMMYFUNCTION("""COMPUTED_VALUE"""),"FIX")</f>
        <v>FIX</v>
      </c>
    </row>
    <row r="946">
      <c r="A946" s="1" t="str">
        <f>IFERROR(__xludf.DUMMYFUNCTION("""COMPUTED_VALUE"""),"FL")</f>
        <v>FL</v>
      </c>
    </row>
    <row r="947">
      <c r="A947" s="1" t="str">
        <f>IFERROR(__xludf.DUMMYFUNCTION("""COMPUTED_VALUE"""),"FLC")</f>
        <v>FLC</v>
      </c>
    </row>
    <row r="948">
      <c r="A948" s="1" t="str">
        <f>IFERROR(__xludf.DUMMYFUNCTION("""COMPUTED_VALUE"""),"FLME")</f>
        <v>FLME</v>
      </c>
    </row>
    <row r="949">
      <c r="A949" s="1" t="str">
        <f>IFERROR(__xludf.DUMMYFUNCTION("""COMPUTED_VALUE"""),"FLNG")</f>
        <v>FLNG</v>
      </c>
    </row>
    <row r="950">
      <c r="A950" s="1" t="str">
        <f>IFERROR(__xludf.DUMMYFUNCTION("""COMPUTED_VALUE"""),"FLO")</f>
        <v>FLO</v>
      </c>
    </row>
    <row r="951">
      <c r="A951" s="1" t="str">
        <f>IFERROR(__xludf.DUMMYFUNCTION("""COMPUTED_VALUE"""),"FLOW")</f>
        <v>FLOW</v>
      </c>
    </row>
    <row r="952">
      <c r="A952" s="1" t="str">
        <f>IFERROR(__xludf.DUMMYFUNCTION("""COMPUTED_VALUE"""),"FLR")</f>
        <v>FLR</v>
      </c>
    </row>
    <row r="953">
      <c r="A953" s="1" t="str">
        <f>IFERROR(__xludf.DUMMYFUNCTION("""COMPUTED_VALUE"""),"FLS")</f>
        <v>FLS</v>
      </c>
    </row>
    <row r="954">
      <c r="A954" s="1" t="str">
        <f>IFERROR(__xludf.DUMMYFUNCTION("""COMPUTED_VALUE"""),"FLT")</f>
        <v>FLT</v>
      </c>
    </row>
    <row r="955">
      <c r="A955" s="1" t="str">
        <f>IFERROR(__xludf.DUMMYFUNCTION("""COMPUTED_VALUE"""),"FMAC")</f>
        <v>FMAC</v>
      </c>
    </row>
    <row r="956">
      <c r="A956" s="1" t="str">
        <f>IFERROR(__xludf.DUMMYFUNCTION("""COMPUTED_VALUE"""),"FMC")</f>
        <v>FMC</v>
      </c>
    </row>
    <row r="957">
      <c r="A957" s="1" t="str">
        <f>IFERROR(__xludf.DUMMYFUNCTION("""COMPUTED_VALUE"""),"FMN")</f>
        <v>FMN</v>
      </c>
    </row>
    <row r="958">
      <c r="A958" s="1" t="str">
        <f>IFERROR(__xludf.DUMMYFUNCTION("""COMPUTED_VALUE"""),"FMO")</f>
        <v>FMO</v>
      </c>
    </row>
    <row r="959">
      <c r="A959" s="1" t="str">
        <f>IFERROR(__xludf.DUMMYFUNCTION("""COMPUTED_VALUE"""),"FMS")</f>
        <v>FMS</v>
      </c>
    </row>
    <row r="960">
      <c r="A960" s="1" t="str">
        <f>IFERROR(__xludf.DUMMYFUNCTION("""COMPUTED_VALUE"""),"FMX")</f>
        <v>FMX</v>
      </c>
    </row>
    <row r="961">
      <c r="A961" s="1" t="str">
        <f>IFERROR(__xludf.DUMMYFUNCTION("""COMPUTED_VALUE"""),"FMY")</f>
        <v>FMY</v>
      </c>
    </row>
    <row r="962">
      <c r="A962" s="1" t="str">
        <f>IFERROR(__xludf.DUMMYFUNCTION("""COMPUTED_VALUE"""),"FN")</f>
        <v>FN</v>
      </c>
    </row>
    <row r="963">
      <c r="A963" s="1" t="str">
        <f>IFERROR(__xludf.DUMMYFUNCTION("""COMPUTED_VALUE"""),"FNB")</f>
        <v>FNB</v>
      </c>
    </row>
    <row r="964">
      <c r="A964" s="1" t="str">
        <f>IFERROR(__xludf.DUMMYFUNCTION("""COMPUTED_VALUE"""),"FND")</f>
        <v>FND</v>
      </c>
    </row>
    <row r="965">
      <c r="A965" s="1" t="str">
        <f>IFERROR(__xludf.DUMMYFUNCTION("""COMPUTED_VALUE"""),"FNF")</f>
        <v>FNF</v>
      </c>
    </row>
    <row r="966">
      <c r="A966" s="1" t="str">
        <f>IFERROR(__xludf.DUMMYFUNCTION("""COMPUTED_VALUE"""),"FNV")</f>
        <v>FNV</v>
      </c>
    </row>
    <row r="967">
      <c r="A967" s="1" t="str">
        <f>IFERROR(__xludf.DUMMYFUNCTION("""COMPUTED_VALUE"""),"FOA")</f>
        <v>FOA</v>
      </c>
    </row>
    <row r="968">
      <c r="A968" s="1" t="str">
        <f>IFERROR(__xludf.DUMMYFUNCTION("""COMPUTED_VALUE"""),"FOE")</f>
        <v>FOE</v>
      </c>
    </row>
    <row r="969">
      <c r="A969" s="1" t="str">
        <f>IFERROR(__xludf.DUMMYFUNCTION("""COMPUTED_VALUE"""),"FOF")</f>
        <v>FOF</v>
      </c>
    </row>
    <row r="970">
      <c r="A970" s="1" t="str">
        <f>IFERROR(__xludf.DUMMYFUNCTION("""COMPUTED_VALUE"""),"FOR")</f>
        <v>FOR</v>
      </c>
    </row>
    <row r="971">
      <c r="A971" s="1" t="str">
        <f>IFERROR(__xludf.DUMMYFUNCTION("""COMPUTED_VALUE"""),"FOUR")</f>
        <v>FOUR</v>
      </c>
    </row>
    <row r="972">
      <c r="A972" s="1" t="str">
        <f>IFERROR(__xludf.DUMMYFUNCTION("""COMPUTED_VALUE"""),"FPAC")</f>
        <v>FPAC</v>
      </c>
    </row>
    <row r="973">
      <c r="A973" s="1" t="str">
        <f>IFERROR(__xludf.DUMMYFUNCTION("""COMPUTED_VALUE"""),"FPF")</f>
        <v>FPF</v>
      </c>
    </row>
    <row r="974">
      <c r="A974" s="1" t="str">
        <f>IFERROR(__xludf.DUMMYFUNCTION("""COMPUTED_VALUE"""),"FPH")</f>
        <v>FPH</v>
      </c>
    </row>
    <row r="975">
      <c r="A975" s="1" t="str">
        <f>IFERROR(__xludf.DUMMYFUNCTION("""COMPUTED_VALUE"""),"FPI")</f>
        <v>FPI</v>
      </c>
    </row>
    <row r="976">
      <c r="A976" s="1" t="str">
        <f>IFERROR(__xludf.DUMMYFUNCTION("""COMPUTED_VALUE"""),"FPL")</f>
        <v>FPL</v>
      </c>
    </row>
    <row r="977">
      <c r="A977" s="1" t="str">
        <f>IFERROR(__xludf.DUMMYFUNCTION("""COMPUTED_VALUE"""),"FR")</f>
        <v>FR</v>
      </c>
    </row>
    <row r="978">
      <c r="A978" s="1" t="str">
        <f>IFERROR(__xludf.DUMMYFUNCTION("""COMPUTED_VALUE"""),"FRA")</f>
        <v>FRA</v>
      </c>
    </row>
    <row r="979">
      <c r="A979" s="1" t="str">
        <f>IFERROR(__xludf.DUMMYFUNCTION("""COMPUTED_VALUE"""),"FRC")</f>
        <v>FRC</v>
      </c>
    </row>
    <row r="980">
      <c r="A980" s="1" t="str">
        <f>IFERROR(__xludf.DUMMYFUNCTION("""COMPUTED_VALUE"""),"FREY")</f>
        <v>FREY</v>
      </c>
    </row>
    <row r="981">
      <c r="A981" s="1" t="str">
        <f>IFERROR(__xludf.DUMMYFUNCTION("""COMPUTED_VALUE"""),"FRO")</f>
        <v>FRO</v>
      </c>
    </row>
    <row r="982">
      <c r="A982" s="1" t="str">
        <f>IFERROR(__xludf.DUMMYFUNCTION("""COMPUTED_VALUE"""),"FRT")</f>
        <v>FRT</v>
      </c>
    </row>
    <row r="983">
      <c r="A983" s="1" t="str">
        <f>IFERROR(__xludf.DUMMYFUNCTION("""COMPUTED_VALUE"""),"FRXB")</f>
        <v>FRXB</v>
      </c>
    </row>
    <row r="984">
      <c r="A984" s="1" t="str">
        <f>IFERROR(__xludf.DUMMYFUNCTION("""COMPUTED_VALUE"""),"FSD")</f>
        <v>FSD</v>
      </c>
    </row>
    <row r="985">
      <c r="A985" s="1" t="str">
        <f>IFERROR(__xludf.DUMMYFUNCTION("""COMPUTED_VALUE"""),"FSK")</f>
        <v>FSK</v>
      </c>
    </row>
    <row r="986">
      <c r="A986" s="1" t="str">
        <f>IFERROR(__xludf.DUMMYFUNCTION("""COMPUTED_VALUE"""),"FSLY")</f>
        <v>FSLY</v>
      </c>
    </row>
    <row r="987">
      <c r="A987" s="1" t="str">
        <f>IFERROR(__xludf.DUMMYFUNCTION("""COMPUTED_VALUE"""),"FSM")</f>
        <v>FSM</v>
      </c>
    </row>
    <row r="988">
      <c r="A988" s="1" t="str">
        <f>IFERROR(__xludf.DUMMYFUNCTION("""COMPUTED_VALUE"""),"FSNB")</f>
        <v>FSNB</v>
      </c>
    </row>
    <row r="989">
      <c r="A989" s="1" t="str">
        <f>IFERROR(__xludf.DUMMYFUNCTION("""COMPUTED_VALUE"""),"FSR")</f>
        <v>FSR</v>
      </c>
    </row>
    <row r="990">
      <c r="A990" s="1" t="str">
        <f>IFERROR(__xludf.DUMMYFUNCTION("""COMPUTED_VALUE"""),"FSS")</f>
        <v>FSS</v>
      </c>
    </row>
    <row r="991">
      <c r="A991" s="1" t="str">
        <f>IFERROR(__xludf.DUMMYFUNCTION("""COMPUTED_VALUE"""),"FST")</f>
        <v>FST</v>
      </c>
    </row>
    <row r="992">
      <c r="A992" s="1" t="str">
        <f>IFERROR(__xludf.DUMMYFUNCTION("""COMPUTED_VALUE"""),"FT")</f>
        <v>FT</v>
      </c>
    </row>
    <row r="993">
      <c r="A993" s="1" t="str">
        <f>IFERROR(__xludf.DUMMYFUNCTION("""COMPUTED_VALUE"""),"FTAI")</f>
        <v>FTAI</v>
      </c>
    </row>
    <row r="994">
      <c r="A994" s="1" t="str">
        <f>IFERROR(__xludf.DUMMYFUNCTION("""COMPUTED_VALUE"""),"FTCH")</f>
        <v>FTCH</v>
      </c>
    </row>
    <row r="995">
      <c r="A995" s="1" t="str">
        <f>IFERROR(__xludf.DUMMYFUNCTION("""COMPUTED_VALUE"""),"FTEV")</f>
        <v>FTEV</v>
      </c>
    </row>
    <row r="996">
      <c r="A996" s="1" t="str">
        <f>IFERROR(__xludf.DUMMYFUNCTION("""COMPUTED_VALUE"""),"FTHY")</f>
        <v>FTHY</v>
      </c>
    </row>
    <row r="997">
      <c r="A997" s="1" t="str">
        <f>IFERROR(__xludf.DUMMYFUNCTION("""COMPUTED_VALUE"""),"FTI")</f>
        <v>FTI</v>
      </c>
    </row>
    <row r="998">
      <c r="A998" s="1" t="str">
        <f>IFERROR(__xludf.DUMMYFUNCTION("""COMPUTED_VALUE"""),"FTK")</f>
        <v>FTK</v>
      </c>
    </row>
    <row r="999">
      <c r="A999" s="1" t="str">
        <f>IFERROR(__xludf.DUMMYFUNCTION("""COMPUTED_VALUE"""),"FTS")</f>
        <v>FTS</v>
      </c>
    </row>
    <row r="1000">
      <c r="A1000" s="1" t="str">
        <f>IFERROR(__xludf.DUMMYFUNCTION("""COMPUTED_VALUE"""),"FTV")</f>
        <v>FTV</v>
      </c>
    </row>
    <row r="1001">
      <c r="A1001" s="1" t="str">
        <f>IFERROR(__xludf.DUMMYFUNCTION("""COMPUTED_VALUE"""),"FUBO")</f>
        <v>FUBO</v>
      </c>
    </row>
    <row r="1002">
      <c r="A1002" s="1" t="str">
        <f>IFERROR(__xludf.DUMMYFUNCTION("""COMPUTED_VALUE"""),"FUL")</f>
        <v>FUL</v>
      </c>
    </row>
    <row r="1003">
      <c r="A1003" s="1" t="str">
        <f>IFERROR(__xludf.DUMMYFUNCTION("""COMPUTED_VALUE"""),"FUN")</f>
        <v>FUN</v>
      </c>
    </row>
    <row r="1004">
      <c r="A1004" s="1" t="str">
        <f>IFERROR(__xludf.DUMMYFUNCTION("""COMPUTED_VALUE"""),"FUSE")</f>
        <v>FUSE</v>
      </c>
    </row>
    <row r="1005">
      <c r="A1005" s="1" t="str">
        <f>IFERROR(__xludf.DUMMYFUNCTION("""COMPUTED_VALUE"""),"FVIV")</f>
        <v>FVIV</v>
      </c>
    </row>
    <row r="1006">
      <c r="A1006" s="1" t="str">
        <f>IFERROR(__xludf.DUMMYFUNCTION("""COMPUTED_VALUE"""),"FVRR")</f>
        <v>FVRR</v>
      </c>
    </row>
    <row r="1007">
      <c r="A1007" s="1" t="str">
        <f>IFERROR(__xludf.DUMMYFUNCTION("""COMPUTED_VALUE"""),"FVT")</f>
        <v>FVT</v>
      </c>
    </row>
    <row r="1008">
      <c r="A1008" s="1" t="str">
        <f>IFERROR(__xludf.DUMMYFUNCTION("""COMPUTED_VALUE"""),"FXLV")</f>
        <v>FXLV</v>
      </c>
    </row>
    <row r="1009">
      <c r="A1009" s="1" t="str">
        <f>IFERROR(__xludf.DUMMYFUNCTION("""COMPUTED_VALUE"""),"FZT")</f>
        <v>FZT</v>
      </c>
    </row>
    <row r="1010">
      <c r="A1010" s="1" t="str">
        <f>IFERROR(__xludf.DUMMYFUNCTION("""COMPUTED_VALUE"""),"G")</f>
        <v>G</v>
      </c>
    </row>
    <row r="1011">
      <c r="A1011" s="1" t="str">
        <f>IFERROR(__xludf.DUMMYFUNCTION("""COMPUTED_VALUE"""),"GAB")</f>
        <v>GAB</v>
      </c>
    </row>
    <row r="1012">
      <c r="A1012" s="1" t="str">
        <f>IFERROR(__xludf.DUMMYFUNCTION("""COMPUTED_VALUE"""),"GAM")</f>
        <v>GAM</v>
      </c>
    </row>
    <row r="1013">
      <c r="A1013" s="1" t="str">
        <f>IFERROR(__xludf.DUMMYFUNCTION("""COMPUTED_VALUE"""),"GAPA")</f>
        <v>GAPA</v>
      </c>
    </row>
    <row r="1014">
      <c r="A1014" s="1" t="str">
        <f>IFERROR(__xludf.DUMMYFUNCTION("""COMPUTED_VALUE"""),"GATO")</f>
        <v>GATO</v>
      </c>
    </row>
    <row r="1015">
      <c r="A1015" s="1" t="str">
        <f>IFERROR(__xludf.DUMMYFUNCTION("""COMPUTED_VALUE"""),"GATX")</f>
        <v>GATX</v>
      </c>
    </row>
    <row r="1016">
      <c r="A1016" s="1" t="str">
        <f>IFERROR(__xludf.DUMMYFUNCTION("""COMPUTED_VALUE"""),"GB")</f>
        <v>GB</v>
      </c>
    </row>
    <row r="1017">
      <c r="A1017" s="1" t="str">
        <f>IFERROR(__xludf.DUMMYFUNCTION("""COMPUTED_VALUE"""),"GBAB")</f>
        <v>GBAB</v>
      </c>
    </row>
    <row r="1018">
      <c r="A1018" s="1" t="str">
        <f>IFERROR(__xludf.DUMMYFUNCTION("""COMPUTED_VALUE"""),"GBL")</f>
        <v>GBL</v>
      </c>
    </row>
    <row r="1019">
      <c r="A1019" s="1" t="str">
        <f>IFERROR(__xludf.DUMMYFUNCTION("""COMPUTED_VALUE"""),"GBX")</f>
        <v>GBX</v>
      </c>
    </row>
    <row r="1020">
      <c r="A1020" s="1" t="str">
        <f>IFERROR(__xludf.DUMMYFUNCTION("""COMPUTED_VALUE"""),"GCI")</f>
        <v>GCI</v>
      </c>
    </row>
    <row r="1021">
      <c r="A1021" s="1" t="str">
        <f>IFERROR(__xludf.DUMMYFUNCTION("""COMPUTED_VALUE"""),"GCO")</f>
        <v>GCO</v>
      </c>
    </row>
    <row r="1022">
      <c r="A1022" s="1" t="str">
        <f>IFERROR(__xludf.DUMMYFUNCTION("""COMPUTED_VALUE"""),"GCP")</f>
        <v>GCP</v>
      </c>
    </row>
    <row r="1023">
      <c r="A1023" s="1" t="str">
        <f>IFERROR(__xludf.DUMMYFUNCTION("""COMPUTED_VALUE"""),"GCV")</f>
        <v>GCV</v>
      </c>
    </row>
    <row r="1024">
      <c r="A1024" s="1" t="str">
        <f>IFERROR(__xludf.DUMMYFUNCTION("""COMPUTED_VALUE"""),"GD")</f>
        <v>GD</v>
      </c>
    </row>
    <row r="1025">
      <c r="A1025" s="1" t="str">
        <f>IFERROR(__xludf.DUMMYFUNCTION("""COMPUTED_VALUE"""),"GDDY")</f>
        <v>GDDY</v>
      </c>
    </row>
    <row r="1026">
      <c r="A1026" s="1" t="str">
        <f>IFERROR(__xludf.DUMMYFUNCTION("""COMPUTED_VALUE"""),"GDL")</f>
        <v>GDL</v>
      </c>
    </row>
    <row r="1027">
      <c r="A1027" s="1" t="str">
        <f>IFERROR(__xludf.DUMMYFUNCTION("""COMPUTED_VALUE"""),"GDO")</f>
        <v>GDO</v>
      </c>
    </row>
    <row r="1028">
      <c r="A1028" s="1" t="str">
        <f>IFERROR(__xludf.DUMMYFUNCTION("""COMPUTED_VALUE"""),"GDOT")</f>
        <v>GDOT</v>
      </c>
    </row>
    <row r="1029">
      <c r="A1029" s="1" t="str">
        <f>IFERROR(__xludf.DUMMYFUNCTION("""COMPUTED_VALUE"""),"GDV")</f>
        <v>GDV</v>
      </c>
    </row>
    <row r="1030">
      <c r="A1030" s="1" t="str">
        <f>IFERROR(__xludf.DUMMYFUNCTION("""COMPUTED_VALUE"""),"GE")</f>
        <v>GE</v>
      </c>
    </row>
    <row r="1031">
      <c r="A1031" s="1" t="str">
        <f>IFERROR(__xludf.DUMMYFUNCTION("""COMPUTED_VALUE"""),"GEF")</f>
        <v>GEF</v>
      </c>
    </row>
    <row r="1032">
      <c r="A1032" s="1" t="str">
        <f>IFERROR(__xludf.DUMMYFUNCTION("""COMPUTED_VALUE"""),"GEL")</f>
        <v>GEL</v>
      </c>
    </row>
    <row r="1033">
      <c r="A1033" s="1" t="str">
        <f>IFERROR(__xludf.DUMMYFUNCTION("""COMPUTED_VALUE"""),"GENI")</f>
        <v>GENI</v>
      </c>
    </row>
    <row r="1034">
      <c r="A1034" s="1" t="str">
        <f>IFERROR(__xludf.DUMMYFUNCTION("""COMPUTED_VALUE"""),"GEO")</f>
        <v>GEO</v>
      </c>
    </row>
    <row r="1035">
      <c r="A1035" s="1" t="str">
        <f>IFERROR(__xludf.DUMMYFUNCTION("""COMPUTED_VALUE"""),"GER")</f>
        <v>GER</v>
      </c>
    </row>
    <row r="1036">
      <c r="A1036" s="1" t="str">
        <f>IFERROR(__xludf.DUMMYFUNCTION("""COMPUTED_VALUE"""),"GES")</f>
        <v>GES</v>
      </c>
    </row>
    <row r="1037">
      <c r="A1037" s="1" t="str">
        <f>IFERROR(__xludf.DUMMYFUNCTION("""COMPUTED_VALUE"""),"GF")</f>
        <v>GF</v>
      </c>
    </row>
    <row r="1038">
      <c r="A1038" s="1" t="str">
        <f>IFERROR(__xludf.DUMMYFUNCTION("""COMPUTED_VALUE"""),"GFF")</f>
        <v>GFF</v>
      </c>
    </row>
    <row r="1039">
      <c r="A1039" s="1" t="str">
        <f>IFERROR(__xludf.DUMMYFUNCTION("""COMPUTED_VALUE"""),"GFI")</f>
        <v>GFI</v>
      </c>
    </row>
    <row r="1040">
      <c r="A1040" s="1" t="str">
        <f>IFERROR(__xludf.DUMMYFUNCTION("""COMPUTED_VALUE"""),"GFL")</f>
        <v>GFL</v>
      </c>
    </row>
    <row r="1041">
      <c r="A1041" s="1" t="str">
        <f>IFERROR(__xludf.DUMMYFUNCTION("""COMPUTED_VALUE"""),"GFLU")</f>
        <v>GFLU</v>
      </c>
    </row>
    <row r="1042">
      <c r="A1042" s="1" t="str">
        <f>IFERROR(__xludf.DUMMYFUNCTION("""COMPUTED_VALUE"""),"GFOR")</f>
        <v>GFOR</v>
      </c>
    </row>
    <row r="1043">
      <c r="A1043" s="1" t="str">
        <f>IFERROR(__xludf.DUMMYFUNCTION("""COMPUTED_VALUE"""),"GFX")</f>
        <v>GFX</v>
      </c>
    </row>
    <row r="1044">
      <c r="A1044" s="1" t="str">
        <f>IFERROR(__xludf.DUMMYFUNCTION("""COMPUTED_VALUE"""),"GGB")</f>
        <v>GGB</v>
      </c>
    </row>
    <row r="1045">
      <c r="A1045" s="1" t="str">
        <f>IFERROR(__xludf.DUMMYFUNCTION("""COMPUTED_VALUE"""),"GGG")</f>
        <v>GGG</v>
      </c>
    </row>
    <row r="1046">
      <c r="A1046" s="1" t="str">
        <f>IFERROR(__xludf.DUMMYFUNCTION("""COMPUTED_VALUE"""),"GGM")</f>
        <v>GGM</v>
      </c>
    </row>
    <row r="1047">
      <c r="A1047" s="1" t="str">
        <f>IFERROR(__xludf.DUMMYFUNCTION("""COMPUTED_VALUE"""),"GGT")</f>
        <v>GGT</v>
      </c>
    </row>
    <row r="1048">
      <c r="A1048" s="1" t="str">
        <f>IFERROR(__xludf.DUMMYFUNCTION("""COMPUTED_VALUE"""),"GGZ")</f>
        <v>GGZ</v>
      </c>
    </row>
    <row r="1049">
      <c r="A1049" s="1" t="str">
        <f>IFERROR(__xludf.DUMMYFUNCTION("""COMPUTED_VALUE"""),"GHC")</f>
        <v>GHC</v>
      </c>
    </row>
    <row r="1050">
      <c r="A1050" s="1" t="str">
        <f>IFERROR(__xludf.DUMMYFUNCTION("""COMPUTED_VALUE"""),"GHG")</f>
        <v>GHG</v>
      </c>
    </row>
    <row r="1051">
      <c r="A1051" s="1" t="str">
        <f>IFERROR(__xludf.DUMMYFUNCTION("""COMPUTED_VALUE"""),"GHL")</f>
        <v>GHL</v>
      </c>
    </row>
    <row r="1052">
      <c r="A1052" s="1" t="str">
        <f>IFERROR(__xludf.DUMMYFUNCTION("""COMPUTED_VALUE"""),"GHLD")</f>
        <v>GHLD</v>
      </c>
    </row>
    <row r="1053">
      <c r="A1053" s="1" t="str">
        <f>IFERROR(__xludf.DUMMYFUNCTION("""COMPUTED_VALUE"""),"GHM")</f>
        <v>GHM</v>
      </c>
    </row>
    <row r="1054">
      <c r="A1054" s="1" t="str">
        <f>IFERROR(__xludf.DUMMYFUNCTION("""COMPUTED_VALUE"""),"GHY")</f>
        <v>GHY</v>
      </c>
    </row>
    <row r="1055">
      <c r="A1055" s="1" t="str">
        <f>IFERROR(__xludf.DUMMYFUNCTION("""COMPUTED_VALUE"""),"GIB")</f>
        <v>GIB</v>
      </c>
    </row>
    <row r="1056">
      <c r="A1056" s="1" t="str">
        <f>IFERROR(__xludf.DUMMYFUNCTION("""COMPUTED_VALUE"""),"GIC")</f>
        <v>GIC</v>
      </c>
    </row>
    <row r="1057">
      <c r="A1057" s="1" t="str">
        <f>IFERROR(__xludf.DUMMYFUNCTION("""COMPUTED_VALUE"""),"GIL")</f>
        <v>GIL</v>
      </c>
    </row>
    <row r="1058">
      <c r="A1058" s="1" t="str">
        <f>IFERROR(__xludf.DUMMYFUNCTION("""COMPUTED_VALUE"""),"GIM")</f>
        <v>GIM</v>
      </c>
    </row>
    <row r="1059">
      <c r="A1059" s="1" t="str">
        <f>IFERROR(__xludf.DUMMYFUNCTION("""COMPUTED_VALUE"""),"GIS")</f>
        <v>GIS</v>
      </c>
    </row>
    <row r="1060">
      <c r="A1060" s="1" t="str">
        <f>IFERROR(__xludf.DUMMYFUNCTION("""COMPUTED_VALUE"""),"GJH")</f>
        <v>GJH</v>
      </c>
    </row>
    <row r="1061">
      <c r="A1061" s="1" t="str">
        <f>IFERROR(__xludf.DUMMYFUNCTION("""COMPUTED_VALUE"""),"GJO")</f>
        <v>GJO</v>
      </c>
    </row>
    <row r="1062">
      <c r="A1062" s="1" t="str">
        <f>IFERROR(__xludf.DUMMYFUNCTION("""COMPUTED_VALUE"""),"GKOS")</f>
        <v>GKOS</v>
      </c>
    </row>
    <row r="1063">
      <c r="A1063" s="1" t="str">
        <f>IFERROR(__xludf.DUMMYFUNCTION("""COMPUTED_VALUE"""),"GL")</f>
        <v>GL</v>
      </c>
    </row>
    <row r="1064">
      <c r="A1064" s="1" t="str">
        <f>IFERROR(__xludf.DUMMYFUNCTION("""COMPUTED_VALUE"""),"GLEO")</f>
        <v>GLEO</v>
      </c>
    </row>
    <row r="1065">
      <c r="A1065" s="1" t="str">
        <f>IFERROR(__xludf.DUMMYFUNCTION("""COMPUTED_VALUE"""),"GLOB")</f>
        <v>GLOB</v>
      </c>
    </row>
    <row r="1066">
      <c r="A1066" s="1" t="str">
        <f>IFERROR(__xludf.DUMMYFUNCTION("""COMPUTED_VALUE"""),"GLOP")</f>
        <v>GLOP</v>
      </c>
    </row>
    <row r="1067">
      <c r="A1067" s="1" t="str">
        <f>IFERROR(__xludf.DUMMYFUNCTION("""COMPUTED_VALUE"""),"GLP")</f>
        <v>GLP</v>
      </c>
    </row>
    <row r="1068">
      <c r="A1068" s="1" t="str">
        <f>IFERROR(__xludf.DUMMYFUNCTION("""COMPUTED_VALUE"""),"GLT")</f>
        <v>GLT</v>
      </c>
    </row>
    <row r="1069">
      <c r="A1069" s="1" t="str">
        <f>IFERROR(__xludf.DUMMYFUNCTION("""COMPUTED_VALUE"""),"GLW")</f>
        <v>GLW</v>
      </c>
    </row>
    <row r="1070">
      <c r="A1070" s="1" t="str">
        <f>IFERROR(__xludf.DUMMYFUNCTION("""COMPUTED_VALUE"""),"GM")</f>
        <v>GM</v>
      </c>
    </row>
    <row r="1071">
      <c r="A1071" s="1" t="str">
        <f>IFERROR(__xludf.DUMMYFUNCTION("""COMPUTED_VALUE"""),"GME")</f>
        <v>GME</v>
      </c>
    </row>
    <row r="1072">
      <c r="A1072" s="1" t="str">
        <f>IFERROR(__xludf.DUMMYFUNCTION("""COMPUTED_VALUE"""),"GMED")</f>
        <v>GMED</v>
      </c>
    </row>
    <row r="1073">
      <c r="A1073" s="1" t="str">
        <f>IFERROR(__xludf.DUMMYFUNCTION("""COMPUTED_VALUE"""),"GMRE")</f>
        <v>GMRE</v>
      </c>
    </row>
    <row r="1074">
      <c r="A1074" s="1" t="str">
        <f>IFERROR(__xludf.DUMMYFUNCTION("""COMPUTED_VALUE"""),"GMS")</f>
        <v>GMS</v>
      </c>
    </row>
    <row r="1075">
      <c r="A1075" s="1" t="str">
        <f>IFERROR(__xludf.DUMMYFUNCTION("""COMPUTED_VALUE"""),"GNE")</f>
        <v>GNE</v>
      </c>
    </row>
    <row r="1076">
      <c r="A1076" s="1" t="str">
        <f>IFERROR(__xludf.DUMMYFUNCTION("""COMPUTED_VALUE"""),"GNK")</f>
        <v>GNK</v>
      </c>
    </row>
    <row r="1077">
      <c r="A1077" s="1" t="str">
        <f>IFERROR(__xludf.DUMMYFUNCTION("""COMPUTED_VALUE"""),"GNL")</f>
        <v>GNL</v>
      </c>
    </row>
    <row r="1078">
      <c r="A1078" s="1" t="str">
        <f>IFERROR(__xludf.DUMMYFUNCTION("""COMPUTED_VALUE"""),"GNPK")</f>
        <v>GNPK</v>
      </c>
    </row>
    <row r="1079">
      <c r="A1079" s="1" t="str">
        <f>IFERROR(__xludf.DUMMYFUNCTION("""COMPUTED_VALUE"""),"GNRC")</f>
        <v>GNRC</v>
      </c>
    </row>
    <row r="1080">
      <c r="A1080" s="1" t="str">
        <f>IFERROR(__xludf.DUMMYFUNCTION("""COMPUTED_VALUE"""),"GNT")</f>
        <v>GNT</v>
      </c>
    </row>
    <row r="1081">
      <c r="A1081" s="1" t="str">
        <f>IFERROR(__xludf.DUMMYFUNCTION("""COMPUTED_VALUE"""),"GNW")</f>
        <v>GNW</v>
      </c>
    </row>
    <row r="1082">
      <c r="A1082" s="1" t="str">
        <f>IFERROR(__xludf.DUMMYFUNCTION("""COMPUTED_VALUE"""),"GOAC")</f>
        <v>GOAC</v>
      </c>
    </row>
    <row r="1083">
      <c r="A1083" s="1" t="str">
        <f>IFERROR(__xludf.DUMMYFUNCTION("""COMPUTED_VALUE"""),"GOF")</f>
        <v>GOF</v>
      </c>
    </row>
    <row r="1084">
      <c r="A1084" s="1" t="str">
        <f>IFERROR(__xludf.DUMMYFUNCTION("""COMPUTED_VALUE"""),"GOL")</f>
        <v>GOL</v>
      </c>
    </row>
    <row r="1085">
      <c r="A1085" s="1" t="str">
        <f>IFERROR(__xludf.DUMMYFUNCTION("""COMPUTED_VALUE"""),"GOLD")</f>
        <v>GOLD</v>
      </c>
    </row>
    <row r="1086">
      <c r="A1086" s="1" t="str">
        <f>IFERROR(__xludf.DUMMYFUNCTION("""COMPUTED_VALUE"""),"GOLF")</f>
        <v>GOLF</v>
      </c>
    </row>
    <row r="1087">
      <c r="A1087" s="1" t="str">
        <f>IFERROR(__xludf.DUMMYFUNCTION("""COMPUTED_VALUE"""),"GOOS")</f>
        <v>GOOS</v>
      </c>
    </row>
    <row r="1088">
      <c r="A1088" s="1" t="str">
        <f>IFERROR(__xludf.DUMMYFUNCTION("""COMPUTED_VALUE"""),"GOTU")</f>
        <v>GOTU</v>
      </c>
    </row>
    <row r="1089">
      <c r="A1089" s="1" t="str">
        <f>IFERROR(__xludf.DUMMYFUNCTION("""COMPUTED_VALUE"""),"GPC")</f>
        <v>GPC</v>
      </c>
    </row>
    <row r="1090">
      <c r="A1090" s="1" t="str">
        <f>IFERROR(__xludf.DUMMYFUNCTION("""COMPUTED_VALUE"""),"GPI")</f>
        <v>GPI</v>
      </c>
    </row>
    <row r="1091">
      <c r="A1091" s="1" t="str">
        <f>IFERROR(__xludf.DUMMYFUNCTION("""COMPUTED_VALUE"""),"GPJA")</f>
        <v>GPJA</v>
      </c>
    </row>
    <row r="1092">
      <c r="A1092" s="1" t="str">
        <f>IFERROR(__xludf.DUMMYFUNCTION("""COMPUTED_VALUE"""),"GPK")</f>
        <v>GPK</v>
      </c>
    </row>
    <row r="1093">
      <c r="A1093" s="1" t="str">
        <f>IFERROR(__xludf.DUMMYFUNCTION("""COMPUTED_VALUE"""),"GPM")</f>
        <v>GPM</v>
      </c>
    </row>
    <row r="1094">
      <c r="A1094" s="1" t="str">
        <f>IFERROR(__xludf.DUMMYFUNCTION("""COMPUTED_VALUE"""),"GPMT")</f>
        <v>GPMT</v>
      </c>
    </row>
    <row r="1095">
      <c r="A1095" s="1" t="str">
        <f>IFERROR(__xludf.DUMMYFUNCTION("""COMPUTED_VALUE"""),"GPN")</f>
        <v>GPN</v>
      </c>
    </row>
    <row r="1096">
      <c r="A1096" s="1" t="str">
        <f>IFERROR(__xludf.DUMMYFUNCTION("""COMPUTED_VALUE"""),"GPOR")</f>
        <v>GPOR</v>
      </c>
    </row>
    <row r="1097">
      <c r="A1097" s="1" t="str">
        <f>IFERROR(__xludf.DUMMYFUNCTION("""COMPUTED_VALUE"""),"GPRK")</f>
        <v>GPRK</v>
      </c>
    </row>
    <row r="1098">
      <c r="A1098" s="1" t="str">
        <f>IFERROR(__xludf.DUMMYFUNCTION("""COMPUTED_VALUE"""),"GPS")</f>
        <v>GPS</v>
      </c>
    </row>
    <row r="1099">
      <c r="A1099" s="1" t="str">
        <f>IFERROR(__xludf.DUMMYFUNCTION("""COMPUTED_VALUE"""),"GPX")</f>
        <v>GPX</v>
      </c>
    </row>
    <row r="1100">
      <c r="A1100" s="1" t="str">
        <f>IFERROR(__xludf.DUMMYFUNCTION("""COMPUTED_VALUE"""),"GRA")</f>
        <v>GRA</v>
      </c>
    </row>
    <row r="1101">
      <c r="A1101" s="1" t="str">
        <f>IFERROR(__xludf.DUMMYFUNCTION("""COMPUTED_VALUE"""),"GRC")</f>
        <v>GRC</v>
      </c>
    </row>
    <row r="1102">
      <c r="A1102" s="1" t="str">
        <f>IFERROR(__xludf.DUMMYFUNCTION("""COMPUTED_VALUE"""),"GRX")</f>
        <v>GRX</v>
      </c>
    </row>
    <row r="1103">
      <c r="A1103" s="1" t="str">
        <f>IFERROR(__xludf.DUMMYFUNCTION("""COMPUTED_VALUE"""),"GS")</f>
        <v>GS</v>
      </c>
    </row>
    <row r="1104">
      <c r="A1104" s="1" t="str">
        <f>IFERROR(__xludf.DUMMYFUNCTION("""COMPUTED_VALUE"""),"GSAH")</f>
        <v>GSAH</v>
      </c>
    </row>
    <row r="1105">
      <c r="A1105" s="1" t="str">
        <f>IFERROR(__xludf.DUMMYFUNCTION("""COMPUTED_VALUE"""),"GSBD")</f>
        <v>GSBD</v>
      </c>
    </row>
    <row r="1106">
      <c r="A1106" s="1" t="str">
        <f>IFERROR(__xludf.DUMMYFUNCTION("""COMPUTED_VALUE"""),"GSK")</f>
        <v>GSK</v>
      </c>
    </row>
    <row r="1107">
      <c r="A1107" s="1" t="str">
        <f>IFERROR(__xludf.DUMMYFUNCTION("""COMPUTED_VALUE"""),"GSL")</f>
        <v>GSL</v>
      </c>
    </row>
    <row r="1108">
      <c r="A1108" s="1" t="str">
        <f>IFERROR(__xludf.DUMMYFUNCTION("""COMPUTED_VALUE"""),"GSLD")</f>
        <v>GSLD</v>
      </c>
    </row>
    <row r="1109">
      <c r="A1109" s="1" t="str">
        <f>IFERROR(__xludf.DUMMYFUNCTION("""COMPUTED_VALUE"""),"GSQB")</f>
        <v>GSQB</v>
      </c>
    </row>
    <row r="1110">
      <c r="A1110" s="1" t="str">
        <f>IFERROR(__xludf.DUMMYFUNCTION("""COMPUTED_VALUE"""),"GSQD")</f>
        <v>GSQD</v>
      </c>
    </row>
    <row r="1111">
      <c r="A1111" s="1" t="str">
        <f>IFERROR(__xludf.DUMMYFUNCTION("""COMPUTED_VALUE"""),"GTES")</f>
        <v>GTES</v>
      </c>
    </row>
    <row r="1112">
      <c r="A1112" s="1" t="str">
        <f>IFERROR(__xludf.DUMMYFUNCTION("""COMPUTED_VALUE"""),"GTLS")</f>
        <v>GTLS</v>
      </c>
    </row>
    <row r="1113">
      <c r="A1113" s="1" t="str">
        <f>IFERROR(__xludf.DUMMYFUNCTION("""COMPUTED_VALUE"""),"GTN")</f>
        <v>GTN</v>
      </c>
    </row>
    <row r="1114">
      <c r="A1114" s="1" t="str">
        <f>IFERROR(__xludf.DUMMYFUNCTION("""COMPUTED_VALUE"""),"GTS")</f>
        <v>GTS</v>
      </c>
    </row>
    <row r="1115">
      <c r="A1115" s="1" t="str">
        <f>IFERROR(__xludf.DUMMYFUNCTION("""COMPUTED_VALUE"""),"GTY")</f>
        <v>GTY</v>
      </c>
    </row>
    <row r="1116">
      <c r="A1116" s="1" t="str">
        <f>IFERROR(__xludf.DUMMYFUNCTION("""COMPUTED_VALUE"""),"GUT")</f>
        <v>GUT</v>
      </c>
    </row>
    <row r="1117">
      <c r="A1117" s="1" t="str">
        <f>IFERROR(__xludf.DUMMYFUNCTION("""COMPUTED_VALUE"""),"GVA")</f>
        <v>GVA</v>
      </c>
    </row>
    <row r="1118">
      <c r="A1118" s="1" t="str">
        <f>IFERROR(__xludf.DUMMYFUNCTION("""COMPUTED_VALUE"""),"GWB")</f>
        <v>GWB</v>
      </c>
    </row>
    <row r="1119">
      <c r="A1119" s="1" t="str">
        <f>IFERROR(__xludf.DUMMYFUNCTION("""COMPUTED_VALUE"""),"GWRE")</f>
        <v>GWRE</v>
      </c>
    </row>
    <row r="1120">
      <c r="A1120" s="1" t="str">
        <f>IFERROR(__xludf.DUMMYFUNCTION("""COMPUTED_VALUE"""),"GWW")</f>
        <v>GWW</v>
      </c>
    </row>
    <row r="1121">
      <c r="A1121" s="1" t="str">
        <f>IFERROR(__xludf.DUMMYFUNCTION("""COMPUTED_VALUE"""),"GXO")</f>
        <v>GXO</v>
      </c>
    </row>
    <row r="1122">
      <c r="A1122" s="1" t="str">
        <f>IFERROR(__xludf.DUMMYFUNCTION("""COMPUTED_VALUE"""),"H")</f>
        <v>H</v>
      </c>
    </row>
    <row r="1123">
      <c r="A1123" s="1" t="str">
        <f>IFERROR(__xludf.DUMMYFUNCTION("""COMPUTED_VALUE"""),"HAE")</f>
        <v>HAE</v>
      </c>
    </row>
    <row r="1124">
      <c r="A1124" s="1" t="str">
        <f>IFERROR(__xludf.DUMMYFUNCTION("""COMPUTED_VALUE"""),"HAL")</f>
        <v>HAL</v>
      </c>
    </row>
    <row r="1125">
      <c r="A1125" s="1" t="str">
        <f>IFERROR(__xludf.DUMMYFUNCTION("""COMPUTED_VALUE"""),"HASI")</f>
        <v>HASI</v>
      </c>
    </row>
    <row r="1126">
      <c r="A1126" s="1" t="str">
        <f>IFERROR(__xludf.DUMMYFUNCTION("""COMPUTED_VALUE"""),"HAYW")</f>
        <v>HAYW</v>
      </c>
    </row>
    <row r="1127">
      <c r="A1127" s="1" t="str">
        <f>IFERROR(__xludf.DUMMYFUNCTION("""COMPUTED_VALUE"""),"HBB")</f>
        <v>HBB</v>
      </c>
    </row>
    <row r="1128">
      <c r="A1128" s="1" t="str">
        <f>IFERROR(__xludf.DUMMYFUNCTION("""COMPUTED_VALUE"""),"HBI")</f>
        <v>HBI</v>
      </c>
    </row>
    <row r="1129">
      <c r="A1129" s="1" t="str">
        <f>IFERROR(__xludf.DUMMYFUNCTION("""COMPUTED_VALUE"""),"HBM")</f>
        <v>HBM</v>
      </c>
    </row>
    <row r="1130">
      <c r="A1130" s="1" t="str">
        <f>IFERROR(__xludf.DUMMYFUNCTION("""COMPUTED_VALUE"""),"HCA")</f>
        <v>HCA</v>
      </c>
    </row>
    <row r="1131">
      <c r="A1131" s="1" t="str">
        <f>IFERROR(__xludf.DUMMYFUNCTION("""COMPUTED_VALUE"""),"HCC")</f>
        <v>HCC</v>
      </c>
    </row>
    <row r="1132">
      <c r="A1132" s="1" t="str">
        <f>IFERROR(__xludf.DUMMYFUNCTION("""COMPUTED_VALUE"""),"HCHC")</f>
        <v>HCHC</v>
      </c>
    </row>
    <row r="1133">
      <c r="A1133" s="1" t="str">
        <f>IFERROR(__xludf.DUMMYFUNCTION("""COMPUTED_VALUE"""),"HCI")</f>
        <v>HCI</v>
      </c>
    </row>
    <row r="1134">
      <c r="A1134" s="1" t="str">
        <f>IFERROR(__xludf.DUMMYFUNCTION("""COMPUTED_VALUE"""),"HCXY")</f>
        <v>HCXY</v>
      </c>
    </row>
    <row r="1135">
      <c r="A1135" s="1" t="str">
        <f>IFERROR(__xludf.DUMMYFUNCTION("""COMPUTED_VALUE"""),"HD")</f>
        <v>HD</v>
      </c>
    </row>
    <row r="1136">
      <c r="A1136" s="1" t="str">
        <f>IFERROR(__xludf.DUMMYFUNCTION("""COMPUTED_VALUE"""),"HDB")</f>
        <v>HDB</v>
      </c>
    </row>
    <row r="1137">
      <c r="A1137" s="1" t="str">
        <f>IFERROR(__xludf.DUMMYFUNCTION("""COMPUTED_VALUE"""),"HE")</f>
        <v>HE</v>
      </c>
    </row>
    <row r="1138">
      <c r="A1138" s="1" t="str">
        <f>IFERROR(__xludf.DUMMYFUNCTION("""COMPUTED_VALUE"""),"HEI")</f>
        <v>HEI</v>
      </c>
    </row>
    <row r="1139">
      <c r="A1139" s="1" t="str">
        <f>IFERROR(__xludf.DUMMYFUNCTION("""COMPUTED_VALUE"""),"HEP")</f>
        <v>HEP</v>
      </c>
    </row>
    <row r="1140">
      <c r="A1140" s="1" t="str">
        <f>IFERROR(__xludf.DUMMYFUNCTION("""COMPUTED_VALUE"""),"HEQ")</f>
        <v>HEQ</v>
      </c>
    </row>
    <row r="1141">
      <c r="A1141" s="1" t="str">
        <f>IFERROR(__xludf.DUMMYFUNCTION("""COMPUTED_VALUE"""),"HES")</f>
        <v>HES</v>
      </c>
    </row>
    <row r="1142">
      <c r="A1142" s="1" t="str">
        <f>IFERROR(__xludf.DUMMYFUNCTION("""COMPUTED_VALUE"""),"HESM")</f>
        <v>HESM</v>
      </c>
    </row>
    <row r="1143">
      <c r="A1143" s="1" t="str">
        <f>IFERROR(__xludf.DUMMYFUNCTION("""COMPUTED_VALUE"""),"HEXO")</f>
        <v>HEXO</v>
      </c>
    </row>
    <row r="1144">
      <c r="A1144" s="1" t="str">
        <f>IFERROR(__xludf.DUMMYFUNCTION("""COMPUTED_VALUE"""),"HFC")</f>
        <v>HFC</v>
      </c>
    </row>
    <row r="1145">
      <c r="A1145" s="1" t="str">
        <f>IFERROR(__xludf.DUMMYFUNCTION("""COMPUTED_VALUE"""),"HFRO")</f>
        <v>HFRO</v>
      </c>
    </row>
    <row r="1146">
      <c r="A1146" s="1" t="str">
        <f>IFERROR(__xludf.DUMMYFUNCTION("""COMPUTED_VALUE"""),"HGH")</f>
        <v>HGH</v>
      </c>
    </row>
    <row r="1147">
      <c r="A1147" s="1" t="str">
        <f>IFERROR(__xludf.DUMMYFUNCTION("""COMPUTED_VALUE"""),"HGLB")</f>
        <v>HGLB</v>
      </c>
    </row>
    <row r="1148">
      <c r="A1148" s="1" t="str">
        <f>IFERROR(__xludf.DUMMYFUNCTION("""COMPUTED_VALUE"""),"HGV")</f>
        <v>HGV</v>
      </c>
    </row>
    <row r="1149">
      <c r="A1149" s="1" t="str">
        <f>IFERROR(__xludf.DUMMYFUNCTION("""COMPUTED_VALUE"""),"HHC")</f>
        <v>HHC</v>
      </c>
    </row>
    <row r="1150">
      <c r="A1150" s="1" t="str">
        <f>IFERROR(__xludf.DUMMYFUNCTION("""COMPUTED_VALUE"""),"HHLA")</f>
        <v>HHLA</v>
      </c>
    </row>
    <row r="1151">
      <c r="A1151" s="1" t="str">
        <f>IFERROR(__xludf.DUMMYFUNCTION("""COMPUTED_VALUE"""),"HI")</f>
        <v>HI</v>
      </c>
    </row>
    <row r="1152">
      <c r="A1152" s="1" t="str">
        <f>IFERROR(__xludf.DUMMYFUNCTION("""COMPUTED_VALUE"""),"HIE")</f>
        <v>HIE</v>
      </c>
    </row>
    <row r="1153">
      <c r="A1153" s="1" t="str">
        <f>IFERROR(__xludf.DUMMYFUNCTION("""COMPUTED_VALUE"""),"HIG")</f>
        <v>HIG</v>
      </c>
    </row>
    <row r="1154">
      <c r="A1154" s="1" t="str">
        <f>IFERROR(__xludf.DUMMYFUNCTION("""COMPUTED_VALUE"""),"HIGA")</f>
        <v>HIGA</v>
      </c>
    </row>
    <row r="1155">
      <c r="A1155" s="1" t="str">
        <f>IFERROR(__xludf.DUMMYFUNCTION("""COMPUTED_VALUE"""),"HII")</f>
        <v>HII</v>
      </c>
    </row>
    <row r="1156">
      <c r="A1156" s="1" t="str">
        <f>IFERROR(__xludf.DUMMYFUNCTION("""COMPUTED_VALUE"""),"HIL")</f>
        <v>HIL</v>
      </c>
    </row>
    <row r="1157">
      <c r="A1157" s="1" t="str">
        <f>IFERROR(__xludf.DUMMYFUNCTION("""COMPUTED_VALUE"""),"HIMS")</f>
        <v>HIMS</v>
      </c>
    </row>
    <row r="1158">
      <c r="A1158" s="1" t="str">
        <f>IFERROR(__xludf.DUMMYFUNCTION("""COMPUTED_VALUE"""),"HIO")</f>
        <v>HIO</v>
      </c>
    </row>
    <row r="1159">
      <c r="A1159" s="1" t="str">
        <f>IFERROR(__xludf.DUMMYFUNCTION("""COMPUTED_VALUE"""),"HIPO")</f>
        <v>HIPO</v>
      </c>
    </row>
    <row r="1160">
      <c r="A1160" s="1" t="str">
        <f>IFERROR(__xludf.DUMMYFUNCTION("""COMPUTED_VALUE"""),"HIW")</f>
        <v>HIW</v>
      </c>
    </row>
    <row r="1161">
      <c r="A1161" s="1" t="str">
        <f>IFERROR(__xludf.DUMMYFUNCTION("""COMPUTED_VALUE"""),"HIX")</f>
        <v>HIX</v>
      </c>
    </row>
    <row r="1162">
      <c r="A1162" s="1" t="str">
        <f>IFERROR(__xludf.DUMMYFUNCTION("""COMPUTED_VALUE"""),"HKIB")</f>
        <v>HKIB</v>
      </c>
    </row>
    <row r="1163">
      <c r="A1163" s="1" t="str">
        <f>IFERROR(__xludf.DUMMYFUNCTION("""COMPUTED_VALUE"""),"HL")</f>
        <v>HL</v>
      </c>
    </row>
    <row r="1164">
      <c r="A1164" s="1" t="str">
        <f>IFERROR(__xludf.DUMMYFUNCTION("""COMPUTED_VALUE"""),"HLF")</f>
        <v>HLF</v>
      </c>
    </row>
    <row r="1165">
      <c r="A1165" s="1" t="str">
        <f>IFERROR(__xludf.DUMMYFUNCTION("""COMPUTED_VALUE"""),"HLI")</f>
        <v>HLI</v>
      </c>
    </row>
    <row r="1166">
      <c r="A1166" s="1" t="str">
        <f>IFERROR(__xludf.DUMMYFUNCTION("""COMPUTED_VALUE"""),"HLLY")</f>
        <v>HLLY</v>
      </c>
    </row>
    <row r="1167">
      <c r="A1167" s="1" t="str">
        <f>IFERROR(__xludf.DUMMYFUNCTION("""COMPUTED_VALUE"""),"HLT")</f>
        <v>HLT</v>
      </c>
    </row>
    <row r="1168">
      <c r="A1168" s="1" t="str">
        <f>IFERROR(__xludf.DUMMYFUNCTION("""COMPUTED_VALUE"""),"HLX")</f>
        <v>HLX</v>
      </c>
    </row>
    <row r="1169">
      <c r="A1169" s="1" t="str">
        <f>IFERROR(__xludf.DUMMYFUNCTION("""COMPUTED_VALUE"""),"HMC")</f>
        <v>HMC</v>
      </c>
    </row>
    <row r="1170">
      <c r="A1170" s="1" t="str">
        <f>IFERROR(__xludf.DUMMYFUNCTION("""COMPUTED_VALUE"""),"HMLP")</f>
        <v>HMLP</v>
      </c>
    </row>
    <row r="1171">
      <c r="A1171" s="1" t="str">
        <f>IFERROR(__xludf.DUMMYFUNCTION("""COMPUTED_VALUE"""),"HMN")</f>
        <v>HMN</v>
      </c>
    </row>
    <row r="1172">
      <c r="A1172" s="1" t="str">
        <f>IFERROR(__xludf.DUMMYFUNCTION("""COMPUTED_VALUE"""),"HMY")</f>
        <v>HMY</v>
      </c>
    </row>
    <row r="1173">
      <c r="A1173" s="1" t="str">
        <f>IFERROR(__xludf.DUMMYFUNCTION("""COMPUTED_VALUE"""),"HNGR")</f>
        <v>HNGR</v>
      </c>
    </row>
    <row r="1174">
      <c r="A1174" s="1" t="str">
        <f>IFERROR(__xludf.DUMMYFUNCTION("""COMPUTED_VALUE"""),"HNI")</f>
        <v>HNI</v>
      </c>
    </row>
    <row r="1175">
      <c r="A1175" s="1" t="str">
        <f>IFERROR(__xludf.DUMMYFUNCTION("""COMPUTED_VALUE"""),"HNP")</f>
        <v>HNP</v>
      </c>
    </row>
    <row r="1176">
      <c r="A1176" s="1" t="str">
        <f>IFERROR(__xludf.DUMMYFUNCTION("""COMPUTED_VALUE"""),"HOG")</f>
        <v>HOG</v>
      </c>
    </row>
    <row r="1177">
      <c r="A1177" s="1" t="str">
        <f>IFERROR(__xludf.DUMMYFUNCTION("""COMPUTED_VALUE"""),"HOV")</f>
        <v>HOV</v>
      </c>
    </row>
    <row r="1178">
      <c r="A1178" s="1" t="str">
        <f>IFERROR(__xludf.DUMMYFUNCTION("""COMPUTED_VALUE"""),"HP")</f>
        <v>HP</v>
      </c>
    </row>
    <row r="1179">
      <c r="A1179" s="1" t="str">
        <f>IFERROR(__xludf.DUMMYFUNCTION("""COMPUTED_VALUE"""),"HPE")</f>
        <v>HPE</v>
      </c>
    </row>
    <row r="1180">
      <c r="A1180" s="1" t="str">
        <f>IFERROR(__xludf.DUMMYFUNCTION("""COMPUTED_VALUE"""),"HPF")</f>
        <v>HPF</v>
      </c>
    </row>
    <row r="1181">
      <c r="A1181" s="1" t="str">
        <f>IFERROR(__xludf.DUMMYFUNCTION("""COMPUTED_VALUE"""),"HPI")</f>
        <v>HPI</v>
      </c>
    </row>
    <row r="1182">
      <c r="A1182" s="1" t="str">
        <f>IFERROR(__xludf.DUMMYFUNCTION("""COMPUTED_VALUE"""),"HPP")</f>
        <v>HPP</v>
      </c>
    </row>
    <row r="1183">
      <c r="A1183" s="1" t="str">
        <f>IFERROR(__xludf.DUMMYFUNCTION("""COMPUTED_VALUE"""),"HPQ")</f>
        <v>HPQ</v>
      </c>
    </row>
    <row r="1184">
      <c r="A1184" s="1" t="str">
        <f>IFERROR(__xludf.DUMMYFUNCTION("""COMPUTED_VALUE"""),"HPS")</f>
        <v>HPS</v>
      </c>
    </row>
    <row r="1185">
      <c r="A1185" s="1" t="str">
        <f>IFERROR(__xludf.DUMMYFUNCTION("""COMPUTED_VALUE"""),"HPX")</f>
        <v>HPX</v>
      </c>
    </row>
    <row r="1186">
      <c r="A1186" s="1" t="str">
        <f>IFERROR(__xludf.DUMMYFUNCTION("""COMPUTED_VALUE"""),"HQH")</f>
        <v>HQH</v>
      </c>
    </row>
    <row r="1187">
      <c r="A1187" s="1" t="str">
        <f>IFERROR(__xludf.DUMMYFUNCTION("""COMPUTED_VALUE"""),"HQL")</f>
        <v>HQL</v>
      </c>
    </row>
    <row r="1188">
      <c r="A1188" s="1" t="str">
        <f>IFERROR(__xludf.DUMMYFUNCTION("""COMPUTED_VALUE"""),"HR")</f>
        <v>HR</v>
      </c>
    </row>
    <row r="1189">
      <c r="A1189" s="1" t="str">
        <f>IFERROR(__xludf.DUMMYFUNCTION("""COMPUTED_VALUE"""),"HRB")</f>
        <v>HRB</v>
      </c>
    </row>
    <row r="1190">
      <c r="A1190" s="1" t="str">
        <f>IFERROR(__xludf.DUMMYFUNCTION("""COMPUTED_VALUE"""),"HRC")</f>
        <v>HRC</v>
      </c>
    </row>
    <row r="1191">
      <c r="A1191" s="1" t="str">
        <f>IFERROR(__xludf.DUMMYFUNCTION("""COMPUTED_VALUE"""),"HRI")</f>
        <v>HRI</v>
      </c>
    </row>
    <row r="1192">
      <c r="A1192" s="1" t="str">
        <f>IFERROR(__xludf.DUMMYFUNCTION("""COMPUTED_VALUE"""),"HRL")</f>
        <v>HRL</v>
      </c>
    </row>
    <row r="1193">
      <c r="A1193" s="1" t="str">
        <f>IFERROR(__xludf.DUMMYFUNCTION("""COMPUTED_VALUE"""),"HRTG")</f>
        <v>HRTG</v>
      </c>
    </row>
    <row r="1194">
      <c r="A1194" s="1" t="str">
        <f>IFERROR(__xludf.DUMMYFUNCTION("""COMPUTED_VALUE"""),"HSBC")</f>
        <v>HSBC</v>
      </c>
    </row>
    <row r="1195">
      <c r="A1195" s="1" t="str">
        <f>IFERROR(__xludf.DUMMYFUNCTION("""COMPUTED_VALUE"""),"HSC")</f>
        <v>HSC</v>
      </c>
    </row>
    <row r="1196">
      <c r="A1196" s="1" t="str">
        <f>IFERROR(__xludf.DUMMYFUNCTION("""COMPUTED_VALUE"""),"HSY")</f>
        <v>HSY</v>
      </c>
    </row>
    <row r="1197">
      <c r="A1197" s="1" t="str">
        <f>IFERROR(__xludf.DUMMYFUNCTION("""COMPUTED_VALUE"""),"HT")</f>
        <v>HT</v>
      </c>
    </row>
    <row r="1198">
      <c r="A1198" s="1" t="str">
        <f>IFERROR(__xludf.DUMMYFUNCTION("""COMPUTED_VALUE"""),"HTA")</f>
        <v>HTA</v>
      </c>
    </row>
    <row r="1199">
      <c r="A1199" s="1" t="str">
        <f>IFERROR(__xludf.DUMMYFUNCTION("""COMPUTED_VALUE"""),"HTD")</f>
        <v>HTD</v>
      </c>
    </row>
    <row r="1200">
      <c r="A1200" s="1" t="str">
        <f>IFERROR(__xludf.DUMMYFUNCTION("""COMPUTED_VALUE"""),"HTGC")</f>
        <v>HTGC</v>
      </c>
    </row>
    <row r="1201">
      <c r="A1201" s="1" t="str">
        <f>IFERROR(__xludf.DUMMYFUNCTION("""COMPUTED_VALUE"""),"HTH")</f>
        <v>HTH</v>
      </c>
    </row>
    <row r="1202">
      <c r="A1202" s="1" t="str">
        <f>IFERROR(__xludf.DUMMYFUNCTION("""COMPUTED_VALUE"""),"HTPA")</f>
        <v>HTPA</v>
      </c>
    </row>
    <row r="1203">
      <c r="A1203" s="1" t="str">
        <f>IFERROR(__xludf.DUMMYFUNCTION("""COMPUTED_VALUE"""),"HTY")</f>
        <v>HTY</v>
      </c>
    </row>
    <row r="1204">
      <c r="A1204" s="1" t="str">
        <f>IFERROR(__xludf.DUMMYFUNCTION("""COMPUTED_VALUE"""),"HUBB")</f>
        <v>HUBB</v>
      </c>
    </row>
    <row r="1205">
      <c r="A1205" s="1" t="str">
        <f>IFERROR(__xludf.DUMMYFUNCTION("""COMPUTED_VALUE"""),"HUBS")</f>
        <v>HUBS</v>
      </c>
    </row>
    <row r="1206">
      <c r="A1206" s="1" t="str">
        <f>IFERROR(__xludf.DUMMYFUNCTION("""COMPUTED_VALUE"""),"HUGS")</f>
        <v>HUGS</v>
      </c>
    </row>
    <row r="1207">
      <c r="A1207" s="1" t="str">
        <f>IFERROR(__xludf.DUMMYFUNCTION("""COMPUTED_VALUE"""),"HUM")</f>
        <v>HUM</v>
      </c>
    </row>
    <row r="1208">
      <c r="A1208" s="1" t="str">
        <f>IFERROR(__xludf.DUMMYFUNCTION("""COMPUTED_VALUE"""),"HUN")</f>
        <v>HUN</v>
      </c>
    </row>
    <row r="1209">
      <c r="A1209" s="1" t="str">
        <f>IFERROR(__xludf.DUMMYFUNCTION("""COMPUTED_VALUE"""),"HUYA")</f>
        <v>HUYA</v>
      </c>
    </row>
    <row r="1210">
      <c r="A1210" s="1" t="str">
        <f>IFERROR(__xludf.DUMMYFUNCTION("""COMPUTED_VALUE"""),"HVT")</f>
        <v>HVT</v>
      </c>
    </row>
    <row r="1211">
      <c r="A1211" s="1" t="str">
        <f>IFERROR(__xludf.DUMMYFUNCTION("""COMPUTED_VALUE"""),"HWM")</f>
        <v>HWM</v>
      </c>
    </row>
    <row r="1212">
      <c r="A1212" s="1" t="str">
        <f>IFERROR(__xludf.DUMMYFUNCTION("""COMPUTED_VALUE"""),"HXL")</f>
        <v>HXL</v>
      </c>
    </row>
    <row r="1213">
      <c r="A1213" s="1" t="str">
        <f>IFERROR(__xludf.DUMMYFUNCTION("""COMPUTED_VALUE"""),"HY")</f>
        <v>HY</v>
      </c>
    </row>
    <row r="1214">
      <c r="A1214" s="1" t="str">
        <f>IFERROR(__xludf.DUMMYFUNCTION("""COMPUTED_VALUE"""),"HYB")</f>
        <v>HYB</v>
      </c>
    </row>
    <row r="1215">
      <c r="A1215" s="1" t="str">
        <f>IFERROR(__xludf.DUMMYFUNCTION("""COMPUTED_VALUE"""),"HYI")</f>
        <v>HYI</v>
      </c>
    </row>
    <row r="1216">
      <c r="A1216" s="1" t="str">
        <f>IFERROR(__xludf.DUMMYFUNCTION("""COMPUTED_VALUE"""),"HYLN")</f>
        <v>HYLN</v>
      </c>
    </row>
    <row r="1217">
      <c r="A1217" s="1" t="str">
        <f>IFERROR(__xludf.DUMMYFUNCTION("""COMPUTED_VALUE"""),"HYT")</f>
        <v>HYT</v>
      </c>
    </row>
    <row r="1218">
      <c r="A1218" s="1" t="str">
        <f>IFERROR(__xludf.DUMMYFUNCTION("""COMPUTED_VALUE"""),"HZAC")</f>
        <v>HZAC</v>
      </c>
    </row>
    <row r="1219">
      <c r="A1219" s="1" t="str">
        <f>IFERROR(__xludf.DUMMYFUNCTION("""COMPUTED_VALUE"""),"HZN")</f>
        <v>HZN</v>
      </c>
    </row>
    <row r="1220">
      <c r="A1220" s="1" t="str">
        <f>IFERROR(__xludf.DUMMYFUNCTION("""COMPUTED_VALUE"""),"HZO")</f>
        <v>HZO</v>
      </c>
    </row>
    <row r="1221">
      <c r="A1221" s="1" t="str">
        <f>IFERROR(__xludf.DUMMYFUNCTION("""COMPUTED_VALUE"""),"HZON")</f>
        <v>HZON</v>
      </c>
    </row>
    <row r="1222">
      <c r="A1222" s="1" t="str">
        <f>IFERROR(__xludf.DUMMYFUNCTION("""COMPUTED_VALUE"""),"IAA")</f>
        <v>IAA</v>
      </c>
    </row>
    <row r="1223">
      <c r="A1223" s="1" t="str">
        <f>IFERROR(__xludf.DUMMYFUNCTION("""COMPUTED_VALUE"""),"IACB")</f>
        <v>IACB</v>
      </c>
    </row>
    <row r="1224">
      <c r="A1224" s="1" t="str">
        <f>IFERROR(__xludf.DUMMYFUNCTION("""COMPUTED_VALUE"""),"IACC")</f>
        <v>IACC</v>
      </c>
    </row>
    <row r="1225">
      <c r="A1225" s="1" t="str">
        <f>IFERROR(__xludf.DUMMYFUNCTION("""COMPUTED_VALUE"""),"IAE")</f>
        <v>IAE</v>
      </c>
    </row>
    <row r="1226">
      <c r="A1226" s="1" t="str">
        <f>IFERROR(__xludf.DUMMYFUNCTION("""COMPUTED_VALUE"""),"IAG")</f>
        <v>IAG</v>
      </c>
    </row>
    <row r="1227">
      <c r="A1227" s="1" t="str">
        <f>IFERROR(__xludf.DUMMYFUNCTION("""COMPUTED_VALUE"""),"IBA")</f>
        <v>IBA</v>
      </c>
    </row>
    <row r="1228">
      <c r="A1228" s="1" t="str">
        <f>IFERROR(__xludf.DUMMYFUNCTION("""COMPUTED_VALUE"""),"IBER")</f>
        <v>IBER</v>
      </c>
    </row>
    <row r="1229">
      <c r="A1229" s="1" t="str">
        <f>IFERROR(__xludf.DUMMYFUNCTION("""COMPUTED_VALUE"""),"IBM")</f>
        <v>IBM</v>
      </c>
    </row>
    <row r="1230">
      <c r="A1230" s="1" t="str">
        <f>IFERROR(__xludf.DUMMYFUNCTION("""COMPUTED_VALUE"""),"IBN")</f>
        <v>IBN</v>
      </c>
    </row>
    <row r="1231">
      <c r="A1231" s="1" t="str">
        <f>IFERROR(__xludf.DUMMYFUNCTION("""COMPUTED_VALUE"""),"IBP")</f>
        <v>IBP</v>
      </c>
    </row>
    <row r="1232">
      <c r="A1232" s="1" t="str">
        <f>IFERROR(__xludf.DUMMYFUNCTION("""COMPUTED_VALUE"""),"ICD")</f>
        <v>ICD</v>
      </c>
    </row>
    <row r="1233">
      <c r="A1233" s="1" t="str">
        <f>IFERROR(__xludf.DUMMYFUNCTION("""COMPUTED_VALUE"""),"ICE")</f>
        <v>ICE</v>
      </c>
    </row>
    <row r="1234">
      <c r="A1234" s="1" t="str">
        <f>IFERROR(__xludf.DUMMYFUNCTION("""COMPUTED_VALUE"""),"ICL")</f>
        <v>ICL</v>
      </c>
    </row>
    <row r="1235">
      <c r="A1235" s="1" t="str">
        <f>IFERROR(__xludf.DUMMYFUNCTION("""COMPUTED_VALUE"""),"IDA")</f>
        <v>IDA</v>
      </c>
    </row>
    <row r="1236">
      <c r="A1236" s="1" t="str">
        <f>IFERROR(__xludf.DUMMYFUNCTION("""COMPUTED_VALUE"""),"IDE")</f>
        <v>IDE</v>
      </c>
    </row>
    <row r="1237">
      <c r="A1237" s="1" t="str">
        <f>IFERROR(__xludf.DUMMYFUNCTION("""COMPUTED_VALUE"""),"IDT")</f>
        <v>IDT</v>
      </c>
    </row>
    <row r="1238">
      <c r="A1238" s="1" t="str">
        <f>IFERROR(__xludf.DUMMYFUNCTION("""COMPUTED_VALUE"""),"IEX")</f>
        <v>IEX</v>
      </c>
    </row>
    <row r="1239">
      <c r="A1239" s="1" t="str">
        <f>IFERROR(__xludf.DUMMYFUNCTION("""COMPUTED_VALUE"""),"IFF")</f>
        <v>IFF</v>
      </c>
    </row>
    <row r="1240">
      <c r="A1240" s="1" t="str">
        <f>IFERROR(__xludf.DUMMYFUNCTION("""COMPUTED_VALUE"""),"IFFT")</f>
        <v>IFFT</v>
      </c>
    </row>
    <row r="1241">
      <c r="A1241" s="1" t="str">
        <f>IFERROR(__xludf.DUMMYFUNCTION("""COMPUTED_VALUE"""),"IFN")</f>
        <v>IFN</v>
      </c>
    </row>
    <row r="1242">
      <c r="A1242" s="1" t="str">
        <f>IFERROR(__xludf.DUMMYFUNCTION("""COMPUTED_VALUE"""),"IFS")</f>
        <v>IFS</v>
      </c>
    </row>
    <row r="1243">
      <c r="A1243" s="1" t="str">
        <f>IFERROR(__xludf.DUMMYFUNCTION("""COMPUTED_VALUE"""),"IGA")</f>
        <v>IGA</v>
      </c>
    </row>
    <row r="1244">
      <c r="A1244" s="1" t="str">
        <f>IFERROR(__xludf.DUMMYFUNCTION("""COMPUTED_VALUE"""),"IGD")</f>
        <v>IGD</v>
      </c>
    </row>
    <row r="1245">
      <c r="A1245" s="1" t="str">
        <f>IFERROR(__xludf.DUMMYFUNCTION("""COMPUTED_VALUE"""),"IGI")</f>
        <v>IGI</v>
      </c>
    </row>
    <row r="1246">
      <c r="A1246" s="1" t="str">
        <f>IFERROR(__xludf.DUMMYFUNCTION("""COMPUTED_VALUE"""),"IGR")</f>
        <v>IGR</v>
      </c>
    </row>
    <row r="1247">
      <c r="A1247" s="1" t="str">
        <f>IFERROR(__xludf.DUMMYFUNCTION("""COMPUTED_VALUE"""),"IGT")</f>
        <v>IGT</v>
      </c>
    </row>
    <row r="1248">
      <c r="A1248" s="1" t="str">
        <f>IFERROR(__xludf.DUMMYFUNCTION("""COMPUTED_VALUE"""),"IH")</f>
        <v>IH</v>
      </c>
    </row>
    <row r="1249">
      <c r="A1249" s="1" t="str">
        <f>IFERROR(__xludf.DUMMYFUNCTION("""COMPUTED_VALUE"""),"IHC")</f>
        <v>IHC</v>
      </c>
    </row>
    <row r="1250">
      <c r="A1250" s="1" t="str">
        <f>IFERROR(__xludf.DUMMYFUNCTION("""COMPUTED_VALUE"""),"IHD")</f>
        <v>IHD</v>
      </c>
    </row>
    <row r="1251">
      <c r="A1251" s="1" t="str">
        <f>IFERROR(__xludf.DUMMYFUNCTION("""COMPUTED_VALUE"""),"IHG")</f>
        <v>IHG</v>
      </c>
    </row>
    <row r="1252">
      <c r="A1252" s="1" t="str">
        <f>IFERROR(__xludf.DUMMYFUNCTION("""COMPUTED_VALUE"""),"IHIT")</f>
        <v>IHIT</v>
      </c>
    </row>
    <row r="1253">
      <c r="A1253" s="1" t="str">
        <f>IFERROR(__xludf.DUMMYFUNCTION("""COMPUTED_VALUE"""),"IHTA")</f>
        <v>IHTA</v>
      </c>
    </row>
    <row r="1254">
      <c r="A1254" s="1" t="str">
        <f>IFERROR(__xludf.DUMMYFUNCTION("""COMPUTED_VALUE"""),"IIAC")</f>
        <v>IIAC</v>
      </c>
    </row>
    <row r="1255">
      <c r="A1255" s="1" t="str">
        <f>IFERROR(__xludf.DUMMYFUNCTION("""COMPUTED_VALUE"""),"IIF")</f>
        <v>IIF</v>
      </c>
    </row>
    <row r="1256">
      <c r="A1256" s="1" t="str">
        <f>IFERROR(__xludf.DUMMYFUNCTION("""COMPUTED_VALUE"""),"IIIN")</f>
        <v>IIIN</v>
      </c>
    </row>
    <row r="1257">
      <c r="A1257" s="1" t="str">
        <f>IFERROR(__xludf.DUMMYFUNCTION("""COMPUTED_VALUE"""),"IIM")</f>
        <v>IIM</v>
      </c>
    </row>
    <row r="1258">
      <c r="A1258" s="1" t="str">
        <f>IFERROR(__xludf.DUMMYFUNCTION("""COMPUTED_VALUE"""),"IIPR")</f>
        <v>IIPR</v>
      </c>
    </row>
    <row r="1259">
      <c r="A1259" s="1" t="str">
        <f>IFERROR(__xludf.DUMMYFUNCTION("""COMPUTED_VALUE"""),"IMAX")</f>
        <v>IMAX</v>
      </c>
    </row>
    <row r="1260">
      <c r="A1260" s="1" t="str">
        <f>IFERROR(__xludf.DUMMYFUNCTION("""COMPUTED_VALUE"""),"IMPX")</f>
        <v>IMPX</v>
      </c>
    </row>
    <row r="1261">
      <c r="A1261" s="1" t="str">
        <f>IFERROR(__xludf.DUMMYFUNCTION("""COMPUTED_VALUE"""),"INFO")</f>
        <v>INFO</v>
      </c>
    </row>
    <row r="1262">
      <c r="A1262" s="1" t="str">
        <f>IFERROR(__xludf.DUMMYFUNCTION("""COMPUTED_VALUE"""),"INFY")</f>
        <v>INFY</v>
      </c>
    </row>
    <row r="1263">
      <c r="A1263" s="1" t="str">
        <f>IFERROR(__xludf.DUMMYFUNCTION("""COMPUTED_VALUE"""),"ING")</f>
        <v>ING</v>
      </c>
    </row>
    <row r="1264">
      <c r="A1264" s="1" t="str">
        <f>IFERROR(__xludf.DUMMYFUNCTION("""COMPUTED_VALUE"""),"INGR")</f>
        <v>INGR</v>
      </c>
    </row>
    <row r="1265">
      <c r="A1265" s="1" t="str">
        <f>IFERROR(__xludf.DUMMYFUNCTION("""COMPUTED_VALUE"""),"INN")</f>
        <v>INN</v>
      </c>
    </row>
    <row r="1266">
      <c r="A1266" s="1" t="str">
        <f>IFERROR(__xludf.DUMMYFUNCTION("""COMPUTED_VALUE"""),"INS")</f>
        <v>INS</v>
      </c>
    </row>
    <row r="1267">
      <c r="A1267" s="1" t="str">
        <f>IFERROR(__xludf.DUMMYFUNCTION("""COMPUTED_VALUE"""),"INSI")</f>
        <v>INSI</v>
      </c>
    </row>
    <row r="1268">
      <c r="A1268" s="1" t="str">
        <f>IFERROR(__xludf.DUMMYFUNCTION("""COMPUTED_VALUE"""),"INSP")</f>
        <v>INSP</v>
      </c>
    </row>
    <row r="1269">
      <c r="A1269" s="1" t="str">
        <f>IFERROR(__xludf.DUMMYFUNCTION("""COMPUTED_VALUE"""),"INST")</f>
        <v>INST</v>
      </c>
    </row>
    <row r="1270">
      <c r="A1270" s="1" t="str">
        <f>IFERROR(__xludf.DUMMYFUNCTION("""COMPUTED_VALUE"""),"INSW")</f>
        <v>INSW</v>
      </c>
    </row>
    <row r="1271">
      <c r="A1271" s="1" t="str">
        <f>IFERROR(__xludf.DUMMYFUNCTION("""COMPUTED_VALUE"""),"INT")</f>
        <v>INT</v>
      </c>
    </row>
    <row r="1272">
      <c r="A1272" s="1" t="str">
        <f>IFERROR(__xludf.DUMMYFUNCTION("""COMPUTED_VALUE"""),"INVH")</f>
        <v>INVH</v>
      </c>
    </row>
    <row r="1273">
      <c r="A1273" s="1" t="str">
        <f>IFERROR(__xludf.DUMMYFUNCTION("""COMPUTED_VALUE"""),"IO")</f>
        <v>IO</v>
      </c>
    </row>
    <row r="1274">
      <c r="A1274" s="1" t="str">
        <f>IFERROR(__xludf.DUMMYFUNCTION("""COMPUTED_VALUE"""),"IP")</f>
        <v>IP</v>
      </c>
    </row>
    <row r="1275">
      <c r="A1275" s="1" t="str">
        <f>IFERROR(__xludf.DUMMYFUNCTION("""COMPUTED_VALUE"""),"IPG")</f>
        <v>IPG</v>
      </c>
    </row>
    <row r="1276">
      <c r="A1276" s="1" t="str">
        <f>IFERROR(__xludf.DUMMYFUNCTION("""COMPUTED_VALUE"""),"IPI")</f>
        <v>IPI</v>
      </c>
    </row>
    <row r="1277">
      <c r="A1277" s="1" t="str">
        <f>IFERROR(__xludf.DUMMYFUNCTION("""COMPUTED_VALUE"""),"IPOD")</f>
        <v>IPOD</v>
      </c>
    </row>
    <row r="1278">
      <c r="A1278" s="1" t="str">
        <f>IFERROR(__xludf.DUMMYFUNCTION("""COMPUTED_VALUE"""),"IPOF")</f>
        <v>IPOF</v>
      </c>
    </row>
    <row r="1279">
      <c r="A1279" s="1" t="str">
        <f>IFERROR(__xludf.DUMMYFUNCTION("""COMPUTED_VALUE"""),"IPVA")</f>
        <v>IPVA</v>
      </c>
    </row>
    <row r="1280">
      <c r="A1280" s="1" t="str">
        <f>IFERROR(__xludf.DUMMYFUNCTION("""COMPUTED_VALUE"""),"IPVF")</f>
        <v>IPVF</v>
      </c>
    </row>
    <row r="1281">
      <c r="A1281" s="1" t="str">
        <f>IFERROR(__xludf.DUMMYFUNCTION("""COMPUTED_VALUE"""),"IQI")</f>
        <v>IQI</v>
      </c>
    </row>
    <row r="1282">
      <c r="A1282" s="1" t="str">
        <f>IFERROR(__xludf.DUMMYFUNCTION("""COMPUTED_VALUE"""),"IQV")</f>
        <v>IQV</v>
      </c>
    </row>
    <row r="1283">
      <c r="A1283" s="1" t="str">
        <f>IFERROR(__xludf.DUMMYFUNCTION("""COMPUTED_VALUE"""),"IR")</f>
        <v>IR</v>
      </c>
    </row>
    <row r="1284">
      <c r="A1284" s="1" t="str">
        <f>IFERROR(__xludf.DUMMYFUNCTION("""COMPUTED_VALUE"""),"IRL")</f>
        <v>IRL</v>
      </c>
    </row>
    <row r="1285">
      <c r="A1285" s="1" t="str">
        <f>IFERROR(__xludf.DUMMYFUNCTION("""COMPUTED_VALUE"""),"IRM")</f>
        <v>IRM</v>
      </c>
    </row>
    <row r="1286">
      <c r="A1286" s="1" t="str">
        <f>IFERROR(__xludf.DUMMYFUNCTION("""COMPUTED_VALUE"""),"IRS")</f>
        <v>IRS</v>
      </c>
    </row>
    <row r="1287">
      <c r="A1287" s="1" t="str">
        <f>IFERROR(__xludf.DUMMYFUNCTION("""COMPUTED_VALUE"""),"IRT")</f>
        <v>IRT</v>
      </c>
    </row>
    <row r="1288">
      <c r="A1288" s="1" t="str">
        <f>IFERROR(__xludf.DUMMYFUNCTION("""COMPUTED_VALUE"""),"IS")</f>
        <v>IS</v>
      </c>
    </row>
    <row r="1289">
      <c r="A1289" s="1" t="str">
        <f>IFERROR(__xludf.DUMMYFUNCTION("""COMPUTED_VALUE"""),"ISD")</f>
        <v>ISD</v>
      </c>
    </row>
    <row r="1290">
      <c r="A1290" s="1" t="str">
        <f>IFERROR(__xludf.DUMMYFUNCTION("""COMPUTED_VALUE"""),"ISOS")</f>
        <v>ISOS</v>
      </c>
    </row>
    <row r="1291">
      <c r="A1291" s="1" t="str">
        <f>IFERROR(__xludf.DUMMYFUNCTION("""COMPUTED_VALUE"""),"IT")</f>
        <v>IT</v>
      </c>
    </row>
    <row r="1292">
      <c r="A1292" s="1" t="str">
        <f>IFERROR(__xludf.DUMMYFUNCTION("""COMPUTED_VALUE"""),"ITCB")</f>
        <v>ITCB</v>
      </c>
    </row>
    <row r="1293">
      <c r="A1293" s="1" t="str">
        <f>IFERROR(__xludf.DUMMYFUNCTION("""COMPUTED_VALUE"""),"ITGR")</f>
        <v>ITGR</v>
      </c>
    </row>
    <row r="1294">
      <c r="A1294" s="1" t="str">
        <f>IFERROR(__xludf.DUMMYFUNCTION("""COMPUTED_VALUE"""),"ITT")</f>
        <v>ITT</v>
      </c>
    </row>
    <row r="1295">
      <c r="A1295" s="1" t="str">
        <f>IFERROR(__xludf.DUMMYFUNCTION("""COMPUTED_VALUE"""),"ITUB")</f>
        <v>ITUB</v>
      </c>
    </row>
    <row r="1296">
      <c r="A1296" s="1" t="str">
        <f>IFERROR(__xludf.DUMMYFUNCTION("""COMPUTED_VALUE"""),"ITW")</f>
        <v>ITW</v>
      </c>
    </row>
    <row r="1297">
      <c r="A1297" s="1" t="str">
        <f>IFERROR(__xludf.DUMMYFUNCTION("""COMPUTED_VALUE"""),"IVAN")</f>
        <v>IVAN</v>
      </c>
    </row>
    <row r="1298">
      <c r="A1298" s="1" t="str">
        <f>IFERROR(__xludf.DUMMYFUNCTION("""COMPUTED_VALUE"""),"IVC")</f>
        <v>IVC</v>
      </c>
    </row>
    <row r="1299">
      <c r="A1299" s="1" t="str">
        <f>IFERROR(__xludf.DUMMYFUNCTION("""COMPUTED_VALUE"""),"IVH")</f>
        <v>IVH</v>
      </c>
    </row>
    <row r="1300">
      <c r="A1300" s="1" t="str">
        <f>IFERROR(__xludf.DUMMYFUNCTION("""COMPUTED_VALUE"""),"IVR")</f>
        <v>IVR</v>
      </c>
    </row>
    <row r="1301">
      <c r="A1301" s="1" t="str">
        <f>IFERROR(__xludf.DUMMYFUNCTION("""COMPUTED_VALUE"""),"IVZ")</f>
        <v>IVZ</v>
      </c>
    </row>
    <row r="1302">
      <c r="A1302" s="1" t="str">
        <f>IFERROR(__xludf.DUMMYFUNCTION("""COMPUTED_VALUE"""),"IX")</f>
        <v>IX</v>
      </c>
    </row>
    <row r="1303">
      <c r="A1303" s="1" t="str">
        <f>IFERROR(__xludf.DUMMYFUNCTION("""COMPUTED_VALUE"""),"J")</f>
        <v>J</v>
      </c>
    </row>
    <row r="1304">
      <c r="A1304" s="1" t="str">
        <f>IFERROR(__xludf.DUMMYFUNCTION("""COMPUTED_VALUE"""),"JAX")</f>
        <v>JAX</v>
      </c>
    </row>
    <row r="1305">
      <c r="A1305" s="1" t="str">
        <f>IFERROR(__xludf.DUMMYFUNCTION("""COMPUTED_VALUE"""),"JBGS")</f>
        <v>JBGS</v>
      </c>
    </row>
    <row r="1306">
      <c r="A1306" s="1" t="str">
        <f>IFERROR(__xludf.DUMMYFUNCTION("""COMPUTED_VALUE"""),"JBI")</f>
        <v>JBI</v>
      </c>
    </row>
    <row r="1307">
      <c r="A1307" s="1" t="str">
        <f>IFERROR(__xludf.DUMMYFUNCTION("""COMPUTED_VALUE"""),"JBL")</f>
        <v>JBL</v>
      </c>
    </row>
    <row r="1308">
      <c r="A1308" s="1" t="str">
        <f>IFERROR(__xludf.DUMMYFUNCTION("""COMPUTED_VALUE"""),"JBT")</f>
        <v>JBT</v>
      </c>
    </row>
    <row r="1309">
      <c r="A1309" s="1" t="str">
        <f>IFERROR(__xludf.DUMMYFUNCTION("""COMPUTED_VALUE"""),"JCE")</f>
        <v>JCE</v>
      </c>
    </row>
    <row r="1310">
      <c r="A1310" s="1" t="str">
        <f>IFERROR(__xludf.DUMMYFUNCTION("""COMPUTED_VALUE"""),"JCI")</f>
        <v>JCI</v>
      </c>
    </row>
    <row r="1311">
      <c r="A1311" s="1" t="str">
        <f>IFERROR(__xludf.DUMMYFUNCTION("""COMPUTED_VALUE"""),"JCO")</f>
        <v>JCO</v>
      </c>
    </row>
    <row r="1312">
      <c r="A1312" s="1" t="str">
        <f>IFERROR(__xludf.DUMMYFUNCTION("""COMPUTED_VALUE"""),"JDD")</f>
        <v>JDD</v>
      </c>
    </row>
    <row r="1313">
      <c r="A1313" s="1" t="str">
        <f>IFERROR(__xludf.DUMMYFUNCTION("""COMPUTED_VALUE"""),"JEF")</f>
        <v>JEF</v>
      </c>
    </row>
    <row r="1314">
      <c r="A1314" s="1" t="str">
        <f>IFERROR(__xludf.DUMMYFUNCTION("""COMPUTED_VALUE"""),"JELD")</f>
        <v>JELD</v>
      </c>
    </row>
    <row r="1315">
      <c r="A1315" s="1" t="str">
        <f>IFERROR(__xludf.DUMMYFUNCTION("""COMPUTED_VALUE"""),"JEMD")</f>
        <v>JEMD</v>
      </c>
    </row>
    <row r="1316">
      <c r="A1316" s="1" t="str">
        <f>IFERROR(__xludf.DUMMYFUNCTION("""COMPUTED_VALUE"""),"JEQ")</f>
        <v>JEQ</v>
      </c>
    </row>
    <row r="1317">
      <c r="A1317" s="1" t="str">
        <f>IFERROR(__xludf.DUMMYFUNCTION("""COMPUTED_VALUE"""),"JFR")</f>
        <v>JFR</v>
      </c>
    </row>
    <row r="1318">
      <c r="A1318" s="1" t="str">
        <f>IFERROR(__xludf.DUMMYFUNCTION("""COMPUTED_VALUE"""),"JGH")</f>
        <v>JGH</v>
      </c>
    </row>
    <row r="1319">
      <c r="A1319" s="1" t="str">
        <f>IFERROR(__xludf.DUMMYFUNCTION("""COMPUTED_VALUE"""),"JHAA")</f>
        <v>JHAA</v>
      </c>
    </row>
    <row r="1320">
      <c r="A1320" s="1" t="str">
        <f>IFERROR(__xludf.DUMMYFUNCTION("""COMPUTED_VALUE"""),"JHB")</f>
        <v>JHB</v>
      </c>
    </row>
    <row r="1321">
      <c r="A1321" s="1" t="str">
        <f>IFERROR(__xludf.DUMMYFUNCTION("""COMPUTED_VALUE"""),"JHG")</f>
        <v>JHG</v>
      </c>
    </row>
    <row r="1322">
      <c r="A1322" s="1" t="str">
        <f>IFERROR(__xludf.DUMMYFUNCTION("""COMPUTED_VALUE"""),"JHI")</f>
        <v>JHI</v>
      </c>
    </row>
    <row r="1323">
      <c r="A1323" s="1" t="str">
        <f>IFERROR(__xludf.DUMMYFUNCTION("""COMPUTED_VALUE"""),"JHS")</f>
        <v>JHS</v>
      </c>
    </row>
    <row r="1324">
      <c r="A1324" s="1" t="str">
        <f>IFERROR(__xludf.DUMMYFUNCTION("""COMPUTED_VALUE"""),"JHX")</f>
        <v>JHX</v>
      </c>
    </row>
    <row r="1325">
      <c r="A1325" s="1" t="str">
        <f>IFERROR(__xludf.DUMMYFUNCTION("""COMPUTED_VALUE"""),"JILL")</f>
        <v>JILL</v>
      </c>
    </row>
    <row r="1326">
      <c r="A1326" s="1" t="str">
        <f>IFERROR(__xludf.DUMMYFUNCTION("""COMPUTED_VALUE"""),"JKS")</f>
        <v>JKS</v>
      </c>
    </row>
    <row r="1327">
      <c r="A1327" s="1" t="str">
        <f>IFERROR(__xludf.DUMMYFUNCTION("""COMPUTED_VALUE"""),"JLL")</f>
        <v>JLL</v>
      </c>
    </row>
    <row r="1328">
      <c r="A1328" s="1" t="str">
        <f>IFERROR(__xludf.DUMMYFUNCTION("""COMPUTED_VALUE"""),"JLS")</f>
        <v>JLS</v>
      </c>
    </row>
    <row r="1329">
      <c r="A1329" s="1" t="str">
        <f>IFERROR(__xludf.DUMMYFUNCTION("""COMPUTED_VALUE"""),"JMIA")</f>
        <v>JMIA</v>
      </c>
    </row>
    <row r="1330">
      <c r="A1330" s="1" t="str">
        <f>IFERROR(__xludf.DUMMYFUNCTION("""COMPUTED_VALUE"""),"JMM")</f>
        <v>JMM</v>
      </c>
    </row>
    <row r="1331">
      <c r="A1331" s="1" t="str">
        <f>IFERROR(__xludf.DUMMYFUNCTION("""COMPUTED_VALUE"""),"JMP")</f>
        <v>JMP</v>
      </c>
    </row>
    <row r="1332">
      <c r="A1332" s="1" t="str">
        <f>IFERROR(__xludf.DUMMYFUNCTION("""COMPUTED_VALUE"""),"JNJ")</f>
        <v>JNJ</v>
      </c>
    </row>
    <row r="1333">
      <c r="A1333" s="1" t="str">
        <f>IFERROR(__xludf.DUMMYFUNCTION("""COMPUTED_VALUE"""),"JNPR")</f>
        <v>JNPR</v>
      </c>
    </row>
    <row r="1334">
      <c r="A1334" s="1" t="str">
        <f>IFERROR(__xludf.DUMMYFUNCTION("""COMPUTED_VALUE"""),"JOE")</f>
        <v>JOE</v>
      </c>
    </row>
    <row r="1335">
      <c r="A1335" s="1" t="str">
        <f>IFERROR(__xludf.DUMMYFUNCTION("""COMPUTED_VALUE"""),"JOF")</f>
        <v>JOF</v>
      </c>
    </row>
    <row r="1336">
      <c r="A1336" s="1" t="str">
        <f>IFERROR(__xludf.DUMMYFUNCTION("""COMPUTED_VALUE"""),"JP")</f>
        <v>JP</v>
      </c>
    </row>
    <row r="1337">
      <c r="A1337" s="1" t="str">
        <f>IFERROR(__xludf.DUMMYFUNCTION("""COMPUTED_VALUE"""),"JPC")</f>
        <v>JPC</v>
      </c>
    </row>
    <row r="1338">
      <c r="A1338" s="1" t="str">
        <f>IFERROR(__xludf.DUMMYFUNCTION("""COMPUTED_VALUE"""),"JPI")</f>
        <v>JPI</v>
      </c>
    </row>
    <row r="1339">
      <c r="A1339" s="1" t="str">
        <f>IFERROR(__xludf.DUMMYFUNCTION("""COMPUTED_VALUE"""),"JPM")</f>
        <v>JPM</v>
      </c>
    </row>
    <row r="1340">
      <c r="A1340" s="1" t="str">
        <f>IFERROR(__xludf.DUMMYFUNCTION("""COMPUTED_VALUE"""),"JPS")</f>
        <v>JPS</v>
      </c>
    </row>
    <row r="1341">
      <c r="A1341" s="1" t="str">
        <f>IFERROR(__xludf.DUMMYFUNCTION("""COMPUTED_VALUE"""),"JPT")</f>
        <v>JPT</v>
      </c>
    </row>
    <row r="1342">
      <c r="A1342" s="1" t="str">
        <f>IFERROR(__xludf.DUMMYFUNCTION("""COMPUTED_VALUE"""),"JQC")</f>
        <v>JQC</v>
      </c>
    </row>
    <row r="1343">
      <c r="A1343" s="1" t="str">
        <f>IFERROR(__xludf.DUMMYFUNCTION("""COMPUTED_VALUE"""),"JRI")</f>
        <v>JRI</v>
      </c>
    </row>
    <row r="1344">
      <c r="A1344" s="1" t="str">
        <f>IFERROR(__xludf.DUMMYFUNCTION("""COMPUTED_VALUE"""),"JRO")</f>
        <v>JRO</v>
      </c>
    </row>
    <row r="1345">
      <c r="A1345" s="1" t="str">
        <f>IFERROR(__xludf.DUMMYFUNCTION("""COMPUTED_VALUE"""),"JRS")</f>
        <v>JRS</v>
      </c>
    </row>
    <row r="1346">
      <c r="A1346" s="1" t="str">
        <f>IFERROR(__xludf.DUMMYFUNCTION("""COMPUTED_VALUE"""),"JSD")</f>
        <v>JSD</v>
      </c>
    </row>
    <row r="1347">
      <c r="A1347" s="1" t="str">
        <f>IFERROR(__xludf.DUMMYFUNCTION("""COMPUTED_VALUE"""),"JT")</f>
        <v>JT</v>
      </c>
    </row>
    <row r="1348">
      <c r="A1348" s="1" t="str">
        <f>IFERROR(__xludf.DUMMYFUNCTION("""COMPUTED_VALUE"""),"JTA")</f>
        <v>JTA</v>
      </c>
    </row>
    <row r="1349">
      <c r="A1349" s="1" t="str">
        <f>IFERROR(__xludf.DUMMYFUNCTION("""COMPUTED_VALUE"""),"JTD")</f>
        <v>JTD</v>
      </c>
    </row>
    <row r="1350">
      <c r="A1350" s="1" t="str">
        <f>IFERROR(__xludf.DUMMYFUNCTION("""COMPUTED_VALUE"""),"JWN")</f>
        <v>JWN</v>
      </c>
    </row>
    <row r="1351">
      <c r="A1351" s="1" t="str">
        <f>IFERROR(__xludf.DUMMYFUNCTION("""COMPUTED_VALUE"""),"JWSM")</f>
        <v>JWSM</v>
      </c>
    </row>
    <row r="1352">
      <c r="A1352" s="1" t="str">
        <f>IFERROR(__xludf.DUMMYFUNCTION("""COMPUTED_VALUE"""),"K")</f>
        <v>K</v>
      </c>
    </row>
    <row r="1353">
      <c r="A1353" s="1" t="str">
        <f>IFERROR(__xludf.DUMMYFUNCTION("""COMPUTED_VALUE"""),"KAHC")</f>
        <v>KAHC</v>
      </c>
    </row>
    <row r="1354">
      <c r="A1354" s="1" t="str">
        <f>IFERROR(__xludf.DUMMYFUNCTION("""COMPUTED_VALUE"""),"KAI")</f>
        <v>KAI</v>
      </c>
    </row>
    <row r="1355">
      <c r="A1355" s="1" t="str">
        <f>IFERROR(__xludf.DUMMYFUNCTION("""COMPUTED_VALUE"""),"KAMN")</f>
        <v>KAMN</v>
      </c>
    </row>
    <row r="1356">
      <c r="A1356" s="1" t="str">
        <f>IFERROR(__xludf.DUMMYFUNCTION("""COMPUTED_VALUE"""),"KAR")</f>
        <v>KAR</v>
      </c>
    </row>
    <row r="1357">
      <c r="A1357" s="1" t="str">
        <f>IFERROR(__xludf.DUMMYFUNCTION("""COMPUTED_VALUE"""),"KB")</f>
        <v>KB</v>
      </c>
    </row>
    <row r="1358">
      <c r="A1358" s="1" t="str">
        <f>IFERROR(__xludf.DUMMYFUNCTION("""COMPUTED_VALUE"""),"KBH")</f>
        <v>KBH</v>
      </c>
    </row>
    <row r="1359">
      <c r="A1359" s="1" t="str">
        <f>IFERROR(__xludf.DUMMYFUNCTION("""COMPUTED_VALUE"""),"KBR")</f>
        <v>KBR</v>
      </c>
    </row>
    <row r="1360">
      <c r="A1360" s="1" t="str">
        <f>IFERROR(__xludf.DUMMYFUNCTION("""COMPUTED_VALUE"""),"KCAC")</f>
        <v>KCAC</v>
      </c>
    </row>
    <row r="1361">
      <c r="A1361" s="1" t="str">
        <f>IFERROR(__xludf.DUMMYFUNCTION("""COMPUTED_VALUE"""),"KEN")</f>
        <v>KEN</v>
      </c>
    </row>
    <row r="1362">
      <c r="A1362" s="1" t="str">
        <f>IFERROR(__xludf.DUMMYFUNCTION("""COMPUTED_VALUE"""),"KEP")</f>
        <v>KEP</v>
      </c>
    </row>
    <row r="1363">
      <c r="A1363" s="1" t="str">
        <f>IFERROR(__xludf.DUMMYFUNCTION("""COMPUTED_VALUE"""),"KEX")</f>
        <v>KEX</v>
      </c>
    </row>
    <row r="1364">
      <c r="A1364" s="1" t="str">
        <f>IFERROR(__xludf.DUMMYFUNCTION("""COMPUTED_VALUE"""),"KEY")</f>
        <v>KEY</v>
      </c>
    </row>
    <row r="1365">
      <c r="A1365" s="1" t="str">
        <f>IFERROR(__xludf.DUMMYFUNCTION("""COMPUTED_VALUE"""),"KEYS")</f>
        <v>KEYS</v>
      </c>
    </row>
    <row r="1366">
      <c r="A1366" s="1" t="str">
        <f>IFERROR(__xludf.DUMMYFUNCTION("""COMPUTED_VALUE"""),"KF")</f>
        <v>KF</v>
      </c>
    </row>
    <row r="1367">
      <c r="A1367" s="1" t="str">
        <f>IFERROR(__xludf.DUMMYFUNCTION("""COMPUTED_VALUE"""),"KFS")</f>
        <v>KFS</v>
      </c>
    </row>
    <row r="1368">
      <c r="A1368" s="1" t="str">
        <f>IFERROR(__xludf.DUMMYFUNCTION("""COMPUTED_VALUE"""),"KFY")</f>
        <v>KFY</v>
      </c>
    </row>
    <row r="1369">
      <c r="A1369" s="1" t="str">
        <f>IFERROR(__xludf.DUMMYFUNCTION("""COMPUTED_VALUE"""),"KGC")</f>
        <v>KGC</v>
      </c>
    </row>
    <row r="1370">
      <c r="A1370" s="1" t="str">
        <f>IFERROR(__xludf.DUMMYFUNCTION("""COMPUTED_VALUE"""),"KIM")</f>
        <v>KIM</v>
      </c>
    </row>
    <row r="1371">
      <c r="A1371" s="1" t="str">
        <f>IFERROR(__xludf.DUMMYFUNCTION("""COMPUTED_VALUE"""),"KIO")</f>
        <v>KIO</v>
      </c>
    </row>
    <row r="1372">
      <c r="A1372" s="1" t="str">
        <f>IFERROR(__xludf.DUMMYFUNCTION("""COMPUTED_VALUE"""),"KKR")</f>
        <v>KKR</v>
      </c>
    </row>
    <row r="1373">
      <c r="A1373" s="1" t="str">
        <f>IFERROR(__xludf.DUMMYFUNCTION("""COMPUTED_VALUE"""),"KKRS")</f>
        <v>KKRS</v>
      </c>
    </row>
    <row r="1374">
      <c r="A1374" s="1" t="str">
        <f>IFERROR(__xludf.DUMMYFUNCTION("""COMPUTED_VALUE"""),"KL")</f>
        <v>KL</v>
      </c>
    </row>
    <row r="1375">
      <c r="A1375" s="1" t="str">
        <f>IFERROR(__xludf.DUMMYFUNCTION("""COMPUTED_VALUE"""),"KMB")</f>
        <v>KMB</v>
      </c>
    </row>
    <row r="1376">
      <c r="A1376" s="1" t="str">
        <f>IFERROR(__xludf.DUMMYFUNCTION("""COMPUTED_VALUE"""),"KMF")</f>
        <v>KMF</v>
      </c>
    </row>
    <row r="1377">
      <c r="A1377" s="1" t="str">
        <f>IFERROR(__xludf.DUMMYFUNCTION("""COMPUTED_VALUE"""),"KMI")</f>
        <v>KMI</v>
      </c>
    </row>
    <row r="1378">
      <c r="A1378" s="1" t="str">
        <f>IFERROR(__xludf.DUMMYFUNCTION("""COMPUTED_VALUE"""),"KMPR")</f>
        <v>KMPR</v>
      </c>
    </row>
    <row r="1379">
      <c r="A1379" s="1" t="str">
        <f>IFERROR(__xludf.DUMMYFUNCTION("""COMPUTED_VALUE"""),"KMT")</f>
        <v>KMT</v>
      </c>
    </row>
    <row r="1380">
      <c r="A1380" s="1" t="str">
        <f>IFERROR(__xludf.DUMMYFUNCTION("""COMPUTED_VALUE"""),"KMX")</f>
        <v>KMX</v>
      </c>
    </row>
    <row r="1381">
      <c r="A1381" s="1" t="str">
        <f>IFERROR(__xludf.DUMMYFUNCTION("""COMPUTED_VALUE"""),"KN")</f>
        <v>KN</v>
      </c>
    </row>
    <row r="1382">
      <c r="A1382" s="1" t="str">
        <f>IFERROR(__xludf.DUMMYFUNCTION("""COMPUTED_VALUE"""),"KNOP")</f>
        <v>KNOP</v>
      </c>
    </row>
    <row r="1383">
      <c r="A1383" s="1" t="str">
        <f>IFERROR(__xludf.DUMMYFUNCTION("""COMPUTED_VALUE"""),"KNX")</f>
        <v>KNX</v>
      </c>
    </row>
    <row r="1384">
      <c r="A1384" s="1" t="str">
        <f>IFERROR(__xludf.DUMMYFUNCTION("""COMPUTED_VALUE"""),"KO")</f>
        <v>KO</v>
      </c>
    </row>
    <row r="1385">
      <c r="A1385" s="1" t="str">
        <f>IFERROR(__xludf.DUMMYFUNCTION("""COMPUTED_VALUE"""),"KODK")</f>
        <v>KODK</v>
      </c>
    </row>
    <row r="1386">
      <c r="A1386" s="1" t="str">
        <f>IFERROR(__xludf.DUMMYFUNCTION("""COMPUTED_VALUE"""),"KOF")</f>
        <v>KOF</v>
      </c>
    </row>
    <row r="1387">
      <c r="A1387" s="1" t="str">
        <f>IFERROR(__xludf.DUMMYFUNCTION("""COMPUTED_VALUE"""),"KOP")</f>
        <v>KOP</v>
      </c>
    </row>
    <row r="1388">
      <c r="A1388" s="1" t="str">
        <f>IFERROR(__xludf.DUMMYFUNCTION("""COMPUTED_VALUE"""),"KOS")</f>
        <v>KOS</v>
      </c>
    </row>
    <row r="1389">
      <c r="A1389" s="1" t="str">
        <f>IFERROR(__xludf.DUMMYFUNCTION("""COMPUTED_VALUE"""),"KR")</f>
        <v>KR</v>
      </c>
    </row>
    <row r="1390">
      <c r="A1390" s="1" t="str">
        <f>IFERROR(__xludf.DUMMYFUNCTION("""COMPUTED_VALUE"""),"KRA")</f>
        <v>KRA</v>
      </c>
    </row>
    <row r="1391">
      <c r="A1391" s="1" t="str">
        <f>IFERROR(__xludf.DUMMYFUNCTION("""COMPUTED_VALUE"""),"KRC")</f>
        <v>KRC</v>
      </c>
    </row>
    <row r="1392">
      <c r="A1392" s="1" t="str">
        <f>IFERROR(__xludf.DUMMYFUNCTION("""COMPUTED_VALUE"""),"KREF")</f>
        <v>KREF</v>
      </c>
    </row>
    <row r="1393">
      <c r="A1393" s="1" t="str">
        <f>IFERROR(__xludf.DUMMYFUNCTION("""COMPUTED_VALUE"""),"KRG")</f>
        <v>KRG</v>
      </c>
    </row>
    <row r="1394">
      <c r="A1394" s="1" t="str">
        <f>IFERROR(__xludf.DUMMYFUNCTION("""COMPUTED_VALUE"""),"KRO")</f>
        <v>KRO</v>
      </c>
    </row>
    <row r="1395">
      <c r="A1395" s="1" t="str">
        <f>IFERROR(__xludf.DUMMYFUNCTION("""COMPUTED_VALUE"""),"KRP")</f>
        <v>KRP</v>
      </c>
    </row>
    <row r="1396">
      <c r="A1396" s="1" t="str">
        <f>IFERROR(__xludf.DUMMYFUNCTION("""COMPUTED_VALUE"""),"KSM")</f>
        <v>KSM</v>
      </c>
    </row>
    <row r="1397">
      <c r="A1397" s="1" t="str">
        <f>IFERROR(__xludf.DUMMYFUNCTION("""COMPUTED_VALUE"""),"KSS")</f>
        <v>KSS</v>
      </c>
    </row>
    <row r="1398">
      <c r="A1398" s="1" t="str">
        <f>IFERROR(__xludf.DUMMYFUNCTION("""COMPUTED_VALUE"""),"KSU")</f>
        <v>KSU</v>
      </c>
    </row>
    <row r="1399">
      <c r="A1399" s="1" t="str">
        <f>IFERROR(__xludf.DUMMYFUNCTION("""COMPUTED_VALUE"""),"KT")</f>
        <v>KT</v>
      </c>
    </row>
    <row r="1400">
      <c r="A1400" s="1" t="str">
        <f>IFERROR(__xludf.DUMMYFUNCTION("""COMPUTED_VALUE"""),"KTB")</f>
        <v>KTB</v>
      </c>
    </row>
    <row r="1401">
      <c r="A1401" s="1" t="str">
        <f>IFERROR(__xludf.DUMMYFUNCTION("""COMPUTED_VALUE"""),"KTF")</f>
        <v>KTF</v>
      </c>
    </row>
    <row r="1402">
      <c r="A1402" s="1" t="str">
        <f>IFERROR(__xludf.DUMMYFUNCTION("""COMPUTED_VALUE"""),"KTN")</f>
        <v>KTN</v>
      </c>
    </row>
    <row r="1403">
      <c r="A1403" s="1" t="str">
        <f>IFERROR(__xludf.DUMMYFUNCTION("""COMPUTED_VALUE"""),"KUKE")</f>
        <v>KUKE</v>
      </c>
    </row>
    <row r="1404">
      <c r="A1404" s="1" t="str">
        <f>IFERROR(__xludf.DUMMYFUNCTION("""COMPUTED_VALUE"""),"KW")</f>
        <v>KW</v>
      </c>
    </row>
    <row r="1405">
      <c r="A1405" s="1" t="str">
        <f>IFERROR(__xludf.DUMMYFUNCTION("""COMPUTED_VALUE"""),"KWAC")</f>
        <v>KWAC</v>
      </c>
    </row>
    <row r="1406">
      <c r="A1406" s="1" t="str">
        <f>IFERROR(__xludf.DUMMYFUNCTION("""COMPUTED_VALUE"""),"KWR")</f>
        <v>KWR</v>
      </c>
    </row>
    <row r="1407">
      <c r="A1407" s="1" t="str">
        <f>IFERROR(__xludf.DUMMYFUNCTION("""COMPUTED_VALUE"""),"KYN")</f>
        <v>KYN</v>
      </c>
    </row>
    <row r="1408">
      <c r="A1408" s="1" t="str">
        <f>IFERROR(__xludf.DUMMYFUNCTION("""COMPUTED_VALUE"""),"L")</f>
        <v>L</v>
      </c>
    </row>
    <row r="1409">
      <c r="A1409" s="1" t="str">
        <f>IFERROR(__xludf.DUMMYFUNCTION("""COMPUTED_VALUE"""),"LAC")</f>
        <v>LAC</v>
      </c>
    </row>
    <row r="1410">
      <c r="A1410" s="1" t="str">
        <f>IFERROR(__xludf.DUMMYFUNCTION("""COMPUTED_VALUE"""),"LAD")</f>
        <v>LAD</v>
      </c>
    </row>
    <row r="1411">
      <c r="A1411" s="1" t="str">
        <f>IFERROR(__xludf.DUMMYFUNCTION("""COMPUTED_VALUE"""),"LADR")</f>
        <v>LADR</v>
      </c>
    </row>
    <row r="1412">
      <c r="A1412" s="1" t="str">
        <f>IFERROR(__xludf.DUMMYFUNCTION("""COMPUTED_VALUE"""),"LAIX")</f>
        <v>LAIX</v>
      </c>
    </row>
    <row r="1413">
      <c r="A1413" s="1" t="str">
        <f>IFERROR(__xludf.DUMMYFUNCTION("""COMPUTED_VALUE"""),"LAW")</f>
        <v>LAW</v>
      </c>
    </row>
    <row r="1414">
      <c r="A1414" s="1" t="str">
        <f>IFERROR(__xludf.DUMMYFUNCTION("""COMPUTED_VALUE"""),"LAZ")</f>
        <v>LAZ</v>
      </c>
    </row>
    <row r="1415">
      <c r="A1415" s="1" t="str">
        <f>IFERROR(__xludf.DUMMYFUNCTION("""COMPUTED_VALUE"""),"LBRT")</f>
        <v>LBRT</v>
      </c>
    </row>
    <row r="1416">
      <c r="A1416" s="1" t="str">
        <f>IFERROR(__xludf.DUMMYFUNCTION("""COMPUTED_VALUE"""),"LC")</f>
        <v>LC</v>
      </c>
    </row>
    <row r="1417">
      <c r="A1417" s="1" t="str">
        <f>IFERROR(__xludf.DUMMYFUNCTION("""COMPUTED_VALUE"""),"LCI")</f>
        <v>LCI</v>
      </c>
    </row>
    <row r="1418">
      <c r="A1418" s="1" t="str">
        <f>IFERROR(__xludf.DUMMYFUNCTION("""COMPUTED_VALUE"""),"LCII")</f>
        <v>LCII</v>
      </c>
    </row>
    <row r="1419">
      <c r="A1419" s="1" t="str">
        <f>IFERROR(__xludf.DUMMYFUNCTION("""COMPUTED_VALUE"""),"LDI")</f>
        <v>LDI</v>
      </c>
    </row>
    <row r="1420">
      <c r="A1420" s="1" t="str">
        <f>IFERROR(__xludf.DUMMYFUNCTION("""COMPUTED_VALUE"""),"LDL")</f>
        <v>LDL</v>
      </c>
    </row>
    <row r="1421">
      <c r="A1421" s="1" t="str">
        <f>IFERROR(__xludf.DUMMYFUNCTION("""COMPUTED_VALUE"""),"LDOS")</f>
        <v>LDOS</v>
      </c>
    </row>
    <row r="1422">
      <c r="A1422" s="1" t="str">
        <f>IFERROR(__xludf.DUMMYFUNCTION("""COMPUTED_VALUE"""),"LDP")</f>
        <v>LDP</v>
      </c>
    </row>
    <row r="1423">
      <c r="A1423" s="1" t="str">
        <f>IFERROR(__xludf.DUMMYFUNCTION("""COMPUTED_VALUE"""),"LEA")</f>
        <v>LEA</v>
      </c>
    </row>
    <row r="1424">
      <c r="A1424" s="1" t="str">
        <f>IFERROR(__xludf.DUMMYFUNCTION("""COMPUTED_VALUE"""),"LEAP")</f>
        <v>LEAP</v>
      </c>
    </row>
    <row r="1425">
      <c r="A1425" s="1" t="str">
        <f>IFERROR(__xludf.DUMMYFUNCTION("""COMPUTED_VALUE"""),"LEG")</f>
        <v>LEG</v>
      </c>
    </row>
    <row r="1426">
      <c r="A1426" s="1" t="str">
        <f>IFERROR(__xludf.DUMMYFUNCTION("""COMPUTED_VALUE"""),"LEJU")</f>
        <v>LEJU</v>
      </c>
    </row>
    <row r="1427">
      <c r="A1427" s="1" t="str">
        <f>IFERROR(__xludf.DUMMYFUNCTION("""COMPUTED_VALUE"""),"LEN")</f>
        <v>LEN</v>
      </c>
    </row>
    <row r="1428">
      <c r="A1428" s="1" t="str">
        <f>IFERROR(__xludf.DUMMYFUNCTION("""COMPUTED_VALUE"""),"LEO")</f>
        <v>LEO</v>
      </c>
    </row>
    <row r="1429">
      <c r="A1429" s="1" t="str">
        <f>IFERROR(__xludf.DUMMYFUNCTION("""COMPUTED_VALUE"""),"LEV")</f>
        <v>LEV</v>
      </c>
    </row>
    <row r="1430">
      <c r="A1430" s="1" t="str">
        <f>IFERROR(__xludf.DUMMYFUNCTION("""COMPUTED_VALUE"""),"LEVI")</f>
        <v>LEVI</v>
      </c>
    </row>
    <row r="1431">
      <c r="A1431" s="1" t="str">
        <f>IFERROR(__xludf.DUMMYFUNCTION("""COMPUTED_VALUE"""),"LFC")</f>
        <v>LFC</v>
      </c>
    </row>
    <row r="1432">
      <c r="A1432" s="1" t="str">
        <f>IFERROR(__xludf.DUMMYFUNCTION("""COMPUTED_VALUE"""),"LFT")</f>
        <v>LFT</v>
      </c>
    </row>
    <row r="1433">
      <c r="A1433" s="1" t="str">
        <f>IFERROR(__xludf.DUMMYFUNCTION("""COMPUTED_VALUE"""),"LGI")</f>
        <v>LGI</v>
      </c>
    </row>
    <row r="1434">
      <c r="A1434" s="1" t="str">
        <f>IFERROR(__xludf.DUMMYFUNCTION("""COMPUTED_VALUE"""),"LGV")</f>
        <v>LGV</v>
      </c>
    </row>
    <row r="1435">
      <c r="A1435" s="1" t="str">
        <f>IFERROR(__xludf.DUMMYFUNCTION("""COMPUTED_VALUE"""),"LH")</f>
        <v>LH</v>
      </c>
    </row>
    <row r="1436">
      <c r="A1436" s="1" t="str">
        <f>IFERROR(__xludf.DUMMYFUNCTION("""COMPUTED_VALUE"""),"LHC")</f>
        <v>LHC</v>
      </c>
    </row>
    <row r="1437">
      <c r="A1437" s="1" t="str">
        <f>IFERROR(__xludf.DUMMYFUNCTION("""COMPUTED_VALUE"""),"LHX")</f>
        <v>LHX</v>
      </c>
    </row>
    <row r="1438">
      <c r="A1438" s="1" t="str">
        <f>IFERROR(__xludf.DUMMYFUNCTION("""COMPUTED_VALUE"""),"LII")</f>
        <v>LII</v>
      </c>
    </row>
    <row r="1439">
      <c r="A1439" s="1" t="str">
        <f>IFERROR(__xludf.DUMMYFUNCTION("""COMPUTED_VALUE"""),"LIII")</f>
        <v>LIII</v>
      </c>
    </row>
    <row r="1440">
      <c r="A1440" s="1" t="str">
        <f>IFERROR(__xludf.DUMMYFUNCTION("""COMPUTED_VALUE"""),"LIN")</f>
        <v>LIN</v>
      </c>
    </row>
    <row r="1441">
      <c r="A1441" s="1" t="str">
        <f>IFERROR(__xludf.DUMMYFUNCTION("""COMPUTED_VALUE"""),"LITB")</f>
        <v>LITB</v>
      </c>
    </row>
    <row r="1442">
      <c r="A1442" s="1" t="str">
        <f>IFERROR(__xludf.DUMMYFUNCTION("""COMPUTED_VALUE"""),"LL")</f>
        <v>LL</v>
      </c>
    </row>
    <row r="1443">
      <c r="A1443" s="1" t="str">
        <f>IFERROR(__xludf.DUMMYFUNCTION("""COMPUTED_VALUE"""),"LLY")</f>
        <v>LLY</v>
      </c>
    </row>
    <row r="1444">
      <c r="A1444" s="1" t="str">
        <f>IFERROR(__xludf.DUMMYFUNCTION("""COMPUTED_VALUE"""),"LMND")</f>
        <v>LMND</v>
      </c>
    </row>
    <row r="1445">
      <c r="A1445" s="1" t="str">
        <f>IFERROR(__xludf.DUMMYFUNCTION("""COMPUTED_VALUE"""),"LMT")</f>
        <v>LMT</v>
      </c>
    </row>
    <row r="1446">
      <c r="A1446" s="1" t="str">
        <f>IFERROR(__xludf.DUMMYFUNCTION("""COMPUTED_VALUE"""),"LNC")</f>
        <v>LNC</v>
      </c>
    </row>
    <row r="1447">
      <c r="A1447" s="1" t="str">
        <f>IFERROR(__xludf.DUMMYFUNCTION("""COMPUTED_VALUE"""),"LND")</f>
        <v>LND</v>
      </c>
    </row>
    <row r="1448">
      <c r="A1448" s="1" t="str">
        <f>IFERROR(__xludf.DUMMYFUNCTION("""COMPUTED_VALUE"""),"LNFA")</f>
        <v>LNFA</v>
      </c>
    </row>
    <row r="1449">
      <c r="A1449" s="1" t="str">
        <f>IFERROR(__xludf.DUMMYFUNCTION("""COMPUTED_VALUE"""),"LNN")</f>
        <v>LNN</v>
      </c>
    </row>
    <row r="1450">
      <c r="A1450" s="1" t="str">
        <f>IFERROR(__xludf.DUMMYFUNCTION("""COMPUTED_VALUE"""),"LOKB")</f>
        <v>LOKB</v>
      </c>
    </row>
    <row r="1451">
      <c r="A1451" s="1" t="str">
        <f>IFERROR(__xludf.DUMMYFUNCTION("""COMPUTED_VALUE"""),"LOKM")</f>
        <v>LOKM</v>
      </c>
    </row>
    <row r="1452">
      <c r="A1452" s="1" t="str">
        <f>IFERROR(__xludf.DUMMYFUNCTION("""COMPUTED_VALUE"""),"LOMA")</f>
        <v>LOMA</v>
      </c>
    </row>
    <row r="1453">
      <c r="A1453" s="1" t="str">
        <f>IFERROR(__xludf.DUMMYFUNCTION("""COMPUTED_VALUE"""),"LOW")</f>
        <v>LOW</v>
      </c>
    </row>
    <row r="1454">
      <c r="A1454" s="1" t="str">
        <f>IFERROR(__xludf.DUMMYFUNCTION("""COMPUTED_VALUE"""),"LPG")</f>
        <v>LPG</v>
      </c>
    </row>
    <row r="1455">
      <c r="A1455" s="1" t="str">
        <f>IFERROR(__xludf.DUMMYFUNCTION("""COMPUTED_VALUE"""),"LPI")</f>
        <v>LPI</v>
      </c>
    </row>
    <row r="1456">
      <c r="A1456" s="1" t="str">
        <f>IFERROR(__xludf.DUMMYFUNCTION("""COMPUTED_VALUE"""),"LPL")</f>
        <v>LPL</v>
      </c>
    </row>
    <row r="1457">
      <c r="A1457" s="1" t="str">
        <f>IFERROR(__xludf.DUMMYFUNCTION("""COMPUTED_VALUE"""),"LPX")</f>
        <v>LPX</v>
      </c>
    </row>
    <row r="1458">
      <c r="A1458" s="1" t="str">
        <f>IFERROR(__xludf.DUMMYFUNCTION("""COMPUTED_VALUE"""),"LRN")</f>
        <v>LRN</v>
      </c>
    </row>
    <row r="1459">
      <c r="A1459" s="1" t="str">
        <f>IFERROR(__xludf.DUMMYFUNCTION("""COMPUTED_VALUE"""),"LSI")</f>
        <v>LSI</v>
      </c>
    </row>
    <row r="1460">
      <c r="A1460" s="1" t="str">
        <f>IFERROR(__xludf.DUMMYFUNCTION("""COMPUTED_VALUE"""),"LSPD")</f>
        <v>LSPD</v>
      </c>
    </row>
    <row r="1461">
      <c r="A1461" s="1" t="str">
        <f>IFERROR(__xludf.DUMMYFUNCTION("""COMPUTED_VALUE"""),"LTC")</f>
        <v>LTC</v>
      </c>
    </row>
    <row r="1462">
      <c r="A1462" s="1" t="str">
        <f>IFERROR(__xludf.DUMMYFUNCTION("""COMPUTED_VALUE"""),"LTHM")</f>
        <v>LTHM</v>
      </c>
    </row>
    <row r="1463">
      <c r="A1463" s="1" t="str">
        <f>IFERROR(__xludf.DUMMYFUNCTION("""COMPUTED_VALUE"""),"LU")</f>
        <v>LU</v>
      </c>
    </row>
    <row r="1464">
      <c r="A1464" s="1" t="str">
        <f>IFERROR(__xludf.DUMMYFUNCTION("""COMPUTED_VALUE"""),"LUB")</f>
        <v>LUB</v>
      </c>
    </row>
    <row r="1465">
      <c r="A1465" s="1" t="str">
        <f>IFERROR(__xludf.DUMMYFUNCTION("""COMPUTED_VALUE"""),"LUMN")</f>
        <v>LUMN</v>
      </c>
    </row>
    <row r="1466">
      <c r="A1466" s="1" t="str">
        <f>IFERROR(__xludf.DUMMYFUNCTION("""COMPUTED_VALUE"""),"LUV")</f>
        <v>LUV</v>
      </c>
    </row>
    <row r="1467">
      <c r="A1467" s="1" t="str">
        <f>IFERROR(__xludf.DUMMYFUNCTION("""COMPUTED_VALUE"""),"LVS")</f>
        <v>LVS</v>
      </c>
    </row>
    <row r="1468">
      <c r="A1468" s="1" t="str">
        <f>IFERROR(__xludf.DUMMYFUNCTION("""COMPUTED_VALUE"""),"LW")</f>
        <v>LW</v>
      </c>
    </row>
    <row r="1469">
      <c r="A1469" s="1" t="str">
        <f>IFERROR(__xludf.DUMMYFUNCTION("""COMPUTED_VALUE"""),"LXP")</f>
        <v>LXP</v>
      </c>
    </row>
    <row r="1470">
      <c r="A1470" s="1" t="str">
        <f>IFERROR(__xludf.DUMMYFUNCTION("""COMPUTED_VALUE"""),"LXU")</f>
        <v>LXU</v>
      </c>
    </row>
    <row r="1471">
      <c r="A1471" s="1" t="str">
        <f>IFERROR(__xludf.DUMMYFUNCTION("""COMPUTED_VALUE"""),"LYB")</f>
        <v>LYB</v>
      </c>
    </row>
    <row r="1472">
      <c r="A1472" s="1" t="str">
        <f>IFERROR(__xludf.DUMMYFUNCTION("""COMPUTED_VALUE"""),"LYG")</f>
        <v>LYG</v>
      </c>
    </row>
    <row r="1473">
      <c r="A1473" s="1" t="str">
        <f>IFERROR(__xludf.DUMMYFUNCTION("""COMPUTED_VALUE"""),"LYV")</f>
        <v>LYV</v>
      </c>
    </row>
    <row r="1474">
      <c r="A1474" s="1" t="str">
        <f>IFERROR(__xludf.DUMMYFUNCTION("""COMPUTED_VALUE"""),"LZB")</f>
        <v>LZB</v>
      </c>
    </row>
    <row r="1475">
      <c r="A1475" s="1" t="str">
        <f>IFERROR(__xludf.DUMMYFUNCTION("""COMPUTED_VALUE"""),"M")</f>
        <v>M</v>
      </c>
    </row>
    <row r="1476">
      <c r="A1476" s="1" t="str">
        <f>IFERROR(__xludf.DUMMYFUNCTION("""COMPUTED_VALUE"""),"MA")</f>
        <v>MA</v>
      </c>
    </row>
    <row r="1477">
      <c r="A1477" s="1" t="str">
        <f>IFERROR(__xludf.DUMMYFUNCTION("""COMPUTED_VALUE"""),"MAA")</f>
        <v>MAA</v>
      </c>
    </row>
    <row r="1478">
      <c r="A1478" s="1" t="str">
        <f>IFERROR(__xludf.DUMMYFUNCTION("""COMPUTED_VALUE"""),"MAC")</f>
        <v>MAC</v>
      </c>
    </row>
    <row r="1479">
      <c r="A1479" s="1" t="str">
        <f>IFERROR(__xludf.DUMMYFUNCTION("""COMPUTED_VALUE"""),"MACC")</f>
        <v>MACC</v>
      </c>
    </row>
    <row r="1480">
      <c r="A1480" s="1" t="str">
        <f>IFERROR(__xludf.DUMMYFUNCTION("""COMPUTED_VALUE"""),"MAIN")</f>
        <v>MAIN</v>
      </c>
    </row>
    <row r="1481">
      <c r="A1481" s="1" t="str">
        <f>IFERROR(__xludf.DUMMYFUNCTION("""COMPUTED_VALUE"""),"MAN")</f>
        <v>MAN</v>
      </c>
    </row>
    <row r="1482">
      <c r="A1482" s="1" t="str">
        <f>IFERROR(__xludf.DUMMYFUNCTION("""COMPUTED_VALUE"""),"MANU")</f>
        <v>MANU</v>
      </c>
    </row>
    <row r="1483">
      <c r="A1483" s="1" t="str">
        <f>IFERROR(__xludf.DUMMYFUNCTION("""COMPUTED_VALUE"""),"MAS")</f>
        <v>MAS</v>
      </c>
    </row>
    <row r="1484">
      <c r="A1484" s="1" t="str">
        <f>IFERROR(__xludf.DUMMYFUNCTION("""COMPUTED_VALUE"""),"MATX")</f>
        <v>MATX</v>
      </c>
    </row>
    <row r="1485">
      <c r="A1485" s="1" t="str">
        <f>IFERROR(__xludf.DUMMYFUNCTION("""COMPUTED_VALUE"""),"MAV")</f>
        <v>MAV</v>
      </c>
    </row>
    <row r="1486">
      <c r="A1486" s="1" t="str">
        <f>IFERROR(__xludf.DUMMYFUNCTION("""COMPUTED_VALUE"""),"MAX")</f>
        <v>MAX</v>
      </c>
    </row>
    <row r="1487">
      <c r="A1487" s="1" t="str">
        <f>IFERROR(__xludf.DUMMYFUNCTION("""COMPUTED_VALUE"""),"MAXR")</f>
        <v>MAXR</v>
      </c>
    </row>
    <row r="1488">
      <c r="A1488" s="1" t="str">
        <f>IFERROR(__xludf.DUMMYFUNCTION("""COMPUTED_VALUE"""),"MBAC")</f>
        <v>MBAC</v>
      </c>
    </row>
    <row r="1489">
      <c r="A1489" s="1" t="str">
        <f>IFERROR(__xludf.DUMMYFUNCTION("""COMPUTED_VALUE"""),"MBI")</f>
        <v>MBI</v>
      </c>
    </row>
    <row r="1490">
      <c r="A1490" s="1" t="str">
        <f>IFERROR(__xludf.DUMMYFUNCTION("""COMPUTED_VALUE"""),"MBT")</f>
        <v>MBT</v>
      </c>
    </row>
    <row r="1491">
      <c r="A1491" s="1" t="str">
        <f>IFERROR(__xludf.DUMMYFUNCTION("""COMPUTED_VALUE"""),"MC")</f>
        <v>MC</v>
      </c>
    </row>
    <row r="1492">
      <c r="A1492" s="1" t="str">
        <f>IFERROR(__xludf.DUMMYFUNCTION("""COMPUTED_VALUE"""),"MCA")</f>
        <v>MCA</v>
      </c>
    </row>
    <row r="1493">
      <c r="A1493" s="1" t="str">
        <f>IFERROR(__xludf.DUMMYFUNCTION("""COMPUTED_VALUE"""),"MCB")</f>
        <v>MCB</v>
      </c>
    </row>
    <row r="1494">
      <c r="A1494" s="1" t="str">
        <f>IFERROR(__xludf.DUMMYFUNCTION("""COMPUTED_VALUE"""),"MCD")</f>
        <v>MCD</v>
      </c>
    </row>
    <row r="1495">
      <c r="A1495" s="1" t="str">
        <f>IFERROR(__xludf.DUMMYFUNCTION("""COMPUTED_VALUE"""),"MCG")</f>
        <v>MCG</v>
      </c>
    </row>
    <row r="1496">
      <c r="A1496" s="1" t="str">
        <f>IFERROR(__xludf.DUMMYFUNCTION("""COMPUTED_VALUE"""),"MCI")</f>
        <v>MCI</v>
      </c>
    </row>
    <row r="1497">
      <c r="A1497" s="1" t="str">
        <f>IFERROR(__xludf.DUMMYFUNCTION("""COMPUTED_VALUE"""),"MCK")</f>
        <v>MCK</v>
      </c>
    </row>
    <row r="1498">
      <c r="A1498" s="1" t="str">
        <f>IFERROR(__xludf.DUMMYFUNCTION("""COMPUTED_VALUE"""),"MCN")</f>
        <v>MCN</v>
      </c>
    </row>
    <row r="1499">
      <c r="A1499" s="1" t="str">
        <f>IFERROR(__xludf.DUMMYFUNCTION("""COMPUTED_VALUE"""),"MCO")</f>
        <v>MCO</v>
      </c>
    </row>
    <row r="1500">
      <c r="A1500" s="1" t="str">
        <f>IFERROR(__xludf.DUMMYFUNCTION("""COMPUTED_VALUE"""),"MCR")</f>
        <v>MCR</v>
      </c>
    </row>
    <row r="1501">
      <c r="A1501" s="1" t="str">
        <f>IFERROR(__xludf.DUMMYFUNCTION("""COMPUTED_VALUE"""),"MCS")</f>
        <v>MCS</v>
      </c>
    </row>
    <row r="1502">
      <c r="A1502" s="1" t="str">
        <f>IFERROR(__xludf.DUMMYFUNCTION("""COMPUTED_VALUE"""),"MCW")</f>
        <v>MCW</v>
      </c>
    </row>
    <row r="1503">
      <c r="A1503" s="1" t="str">
        <f>IFERROR(__xludf.DUMMYFUNCTION("""COMPUTED_VALUE"""),"MCY")</f>
        <v>MCY</v>
      </c>
    </row>
    <row r="1504">
      <c r="A1504" s="1" t="str">
        <f>IFERROR(__xludf.DUMMYFUNCTION("""COMPUTED_VALUE"""),"MD")</f>
        <v>MD</v>
      </c>
    </row>
    <row r="1505">
      <c r="A1505" s="1" t="str">
        <f>IFERROR(__xludf.DUMMYFUNCTION("""COMPUTED_VALUE"""),"MDC")</f>
        <v>MDC</v>
      </c>
    </row>
    <row r="1506">
      <c r="A1506" s="1" t="str">
        <f>IFERROR(__xludf.DUMMYFUNCTION("""COMPUTED_VALUE"""),"MDH")</f>
        <v>MDH</v>
      </c>
    </row>
    <row r="1507">
      <c r="A1507" s="1" t="str">
        <f>IFERROR(__xludf.DUMMYFUNCTION("""COMPUTED_VALUE"""),"MDLA")</f>
        <v>MDLA</v>
      </c>
    </row>
    <row r="1508">
      <c r="A1508" s="1" t="str">
        <f>IFERROR(__xludf.DUMMYFUNCTION("""COMPUTED_VALUE"""),"MDP")</f>
        <v>MDP</v>
      </c>
    </row>
    <row r="1509">
      <c r="A1509" s="1" t="str">
        <f>IFERROR(__xludf.DUMMYFUNCTION("""COMPUTED_VALUE"""),"MDT")</f>
        <v>MDT</v>
      </c>
    </row>
    <row r="1510">
      <c r="A1510" s="1" t="str">
        <f>IFERROR(__xludf.DUMMYFUNCTION("""COMPUTED_VALUE"""),"MDU")</f>
        <v>MDU</v>
      </c>
    </row>
    <row r="1511">
      <c r="A1511" s="1" t="str">
        <f>IFERROR(__xludf.DUMMYFUNCTION("""COMPUTED_VALUE"""),"MEC")</f>
        <v>MEC</v>
      </c>
    </row>
    <row r="1512">
      <c r="A1512" s="1" t="str">
        <f>IFERROR(__xludf.DUMMYFUNCTION("""COMPUTED_VALUE"""),"MED")</f>
        <v>MED</v>
      </c>
    </row>
    <row r="1513">
      <c r="A1513" s="1" t="str">
        <f>IFERROR(__xludf.DUMMYFUNCTION("""COMPUTED_VALUE"""),"MEG")</f>
        <v>MEG</v>
      </c>
    </row>
    <row r="1514">
      <c r="A1514" s="1" t="str">
        <f>IFERROR(__xludf.DUMMYFUNCTION("""COMPUTED_VALUE"""),"MEI")</f>
        <v>MEI</v>
      </c>
    </row>
    <row r="1515">
      <c r="A1515" s="1" t="str">
        <f>IFERROR(__xludf.DUMMYFUNCTION("""COMPUTED_VALUE"""),"MET")</f>
        <v>MET</v>
      </c>
    </row>
    <row r="1516">
      <c r="A1516" s="1" t="str">
        <f>IFERROR(__xludf.DUMMYFUNCTION("""COMPUTED_VALUE"""),"MFA")</f>
        <v>MFA</v>
      </c>
    </row>
    <row r="1517">
      <c r="A1517" s="1" t="str">
        <f>IFERROR(__xludf.DUMMYFUNCTION("""COMPUTED_VALUE"""),"MFC")</f>
        <v>MFC</v>
      </c>
    </row>
    <row r="1518">
      <c r="A1518" s="1" t="str">
        <f>IFERROR(__xludf.DUMMYFUNCTION("""COMPUTED_VALUE"""),"MFD")</f>
        <v>MFD</v>
      </c>
    </row>
    <row r="1519">
      <c r="A1519" s="1" t="str">
        <f>IFERROR(__xludf.DUMMYFUNCTION("""COMPUTED_VALUE"""),"MFG")</f>
        <v>MFG</v>
      </c>
    </row>
    <row r="1520">
      <c r="A1520" s="1" t="str">
        <f>IFERROR(__xludf.DUMMYFUNCTION("""COMPUTED_VALUE"""),"MFGP")</f>
        <v>MFGP</v>
      </c>
    </row>
    <row r="1521">
      <c r="A1521" s="1" t="str">
        <f>IFERROR(__xludf.DUMMYFUNCTION("""COMPUTED_VALUE"""),"MFL")</f>
        <v>MFL</v>
      </c>
    </row>
    <row r="1522">
      <c r="A1522" s="1" t="str">
        <f>IFERROR(__xludf.DUMMYFUNCTION("""COMPUTED_VALUE"""),"MFM")</f>
        <v>MFM</v>
      </c>
    </row>
    <row r="1523">
      <c r="A1523" s="1" t="str">
        <f>IFERROR(__xludf.DUMMYFUNCTION("""COMPUTED_VALUE"""),"MFV")</f>
        <v>MFV</v>
      </c>
    </row>
    <row r="1524">
      <c r="A1524" s="1" t="str">
        <f>IFERROR(__xludf.DUMMYFUNCTION("""COMPUTED_VALUE"""),"MG")</f>
        <v>MG</v>
      </c>
    </row>
    <row r="1525">
      <c r="A1525" s="1" t="str">
        <f>IFERROR(__xludf.DUMMYFUNCTION("""COMPUTED_VALUE"""),"MGA")</f>
        <v>MGA</v>
      </c>
    </row>
    <row r="1526">
      <c r="A1526" s="1" t="str">
        <f>IFERROR(__xludf.DUMMYFUNCTION("""COMPUTED_VALUE"""),"MGF")</f>
        <v>MGF</v>
      </c>
    </row>
    <row r="1527">
      <c r="A1527" s="1" t="str">
        <f>IFERROR(__xludf.DUMMYFUNCTION("""COMPUTED_VALUE"""),"MGM")</f>
        <v>MGM</v>
      </c>
    </row>
    <row r="1528">
      <c r="A1528" s="1" t="str">
        <f>IFERROR(__xludf.DUMMYFUNCTION("""COMPUTED_VALUE"""),"MGP")</f>
        <v>MGP</v>
      </c>
    </row>
    <row r="1529">
      <c r="A1529" s="1" t="str">
        <f>IFERROR(__xludf.DUMMYFUNCTION("""COMPUTED_VALUE"""),"MGR")</f>
        <v>MGR</v>
      </c>
    </row>
    <row r="1530">
      <c r="A1530" s="1" t="str">
        <f>IFERROR(__xludf.DUMMYFUNCTION("""COMPUTED_VALUE"""),"MGRB")</f>
        <v>MGRB</v>
      </c>
    </row>
    <row r="1531">
      <c r="A1531" s="1" t="str">
        <f>IFERROR(__xludf.DUMMYFUNCTION("""COMPUTED_VALUE"""),"MGRD")</f>
        <v>MGRD</v>
      </c>
    </row>
    <row r="1532">
      <c r="A1532" s="1" t="str">
        <f>IFERROR(__xludf.DUMMYFUNCTION("""COMPUTED_VALUE"""),"MGU")</f>
        <v>MGU</v>
      </c>
    </row>
    <row r="1533">
      <c r="A1533" s="1" t="str">
        <f>IFERROR(__xludf.DUMMYFUNCTION("""COMPUTED_VALUE"""),"MGY")</f>
        <v>MGY</v>
      </c>
    </row>
    <row r="1534">
      <c r="A1534" s="1" t="str">
        <f>IFERROR(__xludf.DUMMYFUNCTION("""COMPUTED_VALUE"""),"MHD")</f>
        <v>MHD</v>
      </c>
    </row>
    <row r="1535">
      <c r="A1535" s="1" t="str">
        <f>IFERROR(__xludf.DUMMYFUNCTION("""COMPUTED_VALUE"""),"MHF")</f>
        <v>MHF</v>
      </c>
    </row>
    <row r="1536">
      <c r="A1536" s="1" t="str">
        <f>IFERROR(__xludf.DUMMYFUNCTION("""COMPUTED_VALUE"""),"MHI")</f>
        <v>MHI</v>
      </c>
    </row>
    <row r="1537">
      <c r="A1537" s="1" t="str">
        <f>IFERROR(__xludf.DUMMYFUNCTION("""COMPUTED_VALUE"""),"MHK")</f>
        <v>MHK</v>
      </c>
    </row>
    <row r="1538">
      <c r="A1538" s="1" t="str">
        <f>IFERROR(__xludf.DUMMYFUNCTION("""COMPUTED_VALUE"""),"MHLA")</f>
        <v>MHLA</v>
      </c>
    </row>
    <row r="1539">
      <c r="A1539" s="1" t="str">
        <f>IFERROR(__xludf.DUMMYFUNCTION("""COMPUTED_VALUE"""),"MHN")</f>
        <v>MHN</v>
      </c>
    </row>
    <row r="1540">
      <c r="A1540" s="1" t="str">
        <f>IFERROR(__xludf.DUMMYFUNCTION("""COMPUTED_VALUE"""),"MHNC")</f>
        <v>MHNC</v>
      </c>
    </row>
    <row r="1541">
      <c r="A1541" s="1" t="str">
        <f>IFERROR(__xludf.DUMMYFUNCTION("""COMPUTED_VALUE"""),"MHO")</f>
        <v>MHO</v>
      </c>
    </row>
    <row r="1542">
      <c r="A1542" s="1" t="str">
        <f>IFERROR(__xludf.DUMMYFUNCTION("""COMPUTED_VALUE"""),"MIC")</f>
        <v>MIC</v>
      </c>
    </row>
    <row r="1543">
      <c r="A1543" s="1" t="str">
        <f>IFERROR(__xludf.DUMMYFUNCTION("""COMPUTED_VALUE"""),"MIN")</f>
        <v>MIN</v>
      </c>
    </row>
    <row r="1544">
      <c r="A1544" s="1" t="str">
        <f>IFERROR(__xludf.DUMMYFUNCTION("""COMPUTED_VALUE"""),"MIT")</f>
        <v>MIT</v>
      </c>
    </row>
    <row r="1545">
      <c r="A1545" s="1" t="str">
        <f>IFERROR(__xludf.DUMMYFUNCTION("""COMPUTED_VALUE"""),"MITT")</f>
        <v>MITT</v>
      </c>
    </row>
    <row r="1546">
      <c r="A1546" s="1" t="str">
        <f>IFERROR(__xludf.DUMMYFUNCTION("""COMPUTED_VALUE"""),"MIXT")</f>
        <v>MIXT</v>
      </c>
    </row>
    <row r="1547">
      <c r="A1547" s="1" t="str">
        <f>IFERROR(__xludf.DUMMYFUNCTION("""COMPUTED_VALUE"""),"MIY")</f>
        <v>MIY</v>
      </c>
    </row>
    <row r="1548">
      <c r="A1548" s="1" t="str">
        <f>IFERROR(__xludf.DUMMYFUNCTION("""COMPUTED_VALUE"""),"MKC")</f>
        <v>MKC</v>
      </c>
    </row>
    <row r="1549">
      <c r="A1549" s="1" t="str">
        <f>IFERROR(__xludf.DUMMYFUNCTION("""COMPUTED_VALUE"""),"MKFG")</f>
        <v>MKFG</v>
      </c>
    </row>
    <row r="1550">
      <c r="A1550" s="1" t="str">
        <f>IFERROR(__xludf.DUMMYFUNCTION("""COMPUTED_VALUE"""),"MKL")</f>
        <v>MKL</v>
      </c>
    </row>
    <row r="1551">
      <c r="A1551" s="1" t="str">
        <f>IFERROR(__xludf.DUMMYFUNCTION("""COMPUTED_VALUE"""),"MLI")</f>
        <v>MLI</v>
      </c>
    </row>
    <row r="1552">
      <c r="A1552" s="1" t="str">
        <f>IFERROR(__xludf.DUMMYFUNCTION("""COMPUTED_VALUE"""),"MLM")</f>
        <v>MLM</v>
      </c>
    </row>
    <row r="1553">
      <c r="A1553" s="1" t="str">
        <f>IFERROR(__xludf.DUMMYFUNCTION("""COMPUTED_VALUE"""),"MLNK")</f>
        <v>MLNK</v>
      </c>
    </row>
    <row r="1554">
      <c r="A1554" s="1" t="str">
        <f>IFERROR(__xludf.DUMMYFUNCTION("""COMPUTED_VALUE"""),"MLP")</f>
        <v>MLP</v>
      </c>
    </row>
    <row r="1555">
      <c r="A1555" s="1" t="str">
        <f>IFERROR(__xludf.DUMMYFUNCTION("""COMPUTED_VALUE"""),"MLR")</f>
        <v>MLR</v>
      </c>
    </row>
    <row r="1556">
      <c r="A1556" s="1" t="str">
        <f>IFERROR(__xludf.DUMMYFUNCTION("""COMPUTED_VALUE"""),"MMC")</f>
        <v>MMC</v>
      </c>
    </row>
    <row r="1557">
      <c r="A1557" s="1" t="str">
        <f>IFERROR(__xludf.DUMMYFUNCTION("""COMPUTED_VALUE"""),"MMD")</f>
        <v>MMD</v>
      </c>
    </row>
    <row r="1558">
      <c r="A1558" s="1" t="str">
        <f>IFERROR(__xludf.DUMMYFUNCTION("""COMPUTED_VALUE"""),"MMI")</f>
        <v>MMI</v>
      </c>
    </row>
    <row r="1559">
      <c r="A1559" s="1" t="str">
        <f>IFERROR(__xludf.DUMMYFUNCTION("""COMPUTED_VALUE"""),"MMM")</f>
        <v>MMM</v>
      </c>
    </row>
    <row r="1560">
      <c r="A1560" s="1" t="str">
        <f>IFERROR(__xludf.DUMMYFUNCTION("""COMPUTED_VALUE"""),"MMP")</f>
        <v>MMP</v>
      </c>
    </row>
    <row r="1561">
      <c r="A1561" s="1" t="str">
        <f>IFERROR(__xludf.DUMMYFUNCTION("""COMPUTED_VALUE"""),"MMS")</f>
        <v>MMS</v>
      </c>
    </row>
    <row r="1562">
      <c r="A1562" s="1" t="str">
        <f>IFERROR(__xludf.DUMMYFUNCTION("""COMPUTED_VALUE"""),"MMT")</f>
        <v>MMT</v>
      </c>
    </row>
    <row r="1563">
      <c r="A1563" s="1" t="str">
        <f>IFERROR(__xludf.DUMMYFUNCTION("""COMPUTED_VALUE"""),"MMU")</f>
        <v>MMU</v>
      </c>
    </row>
    <row r="1564">
      <c r="A1564" s="1" t="str">
        <f>IFERROR(__xludf.DUMMYFUNCTION("""COMPUTED_VALUE"""),"MN")</f>
        <v>MN</v>
      </c>
    </row>
    <row r="1565">
      <c r="A1565" s="1" t="str">
        <f>IFERROR(__xludf.DUMMYFUNCTION("""COMPUTED_VALUE"""),"MNP")</f>
        <v>MNP</v>
      </c>
    </row>
    <row r="1566">
      <c r="A1566" s="1" t="str">
        <f>IFERROR(__xludf.DUMMYFUNCTION("""COMPUTED_VALUE"""),"MNR")</f>
        <v>MNR</v>
      </c>
    </row>
    <row r="1567">
      <c r="A1567" s="1" t="str">
        <f>IFERROR(__xludf.DUMMYFUNCTION("""COMPUTED_VALUE"""),"MNRL")</f>
        <v>MNRL</v>
      </c>
    </row>
    <row r="1568">
      <c r="A1568" s="1" t="str">
        <f>IFERROR(__xludf.DUMMYFUNCTION("""COMPUTED_VALUE"""),"MNSO")</f>
        <v>MNSO</v>
      </c>
    </row>
    <row r="1569">
      <c r="A1569" s="1" t="str">
        <f>IFERROR(__xludf.DUMMYFUNCTION("""COMPUTED_VALUE"""),"MO")</f>
        <v>MO</v>
      </c>
    </row>
    <row r="1570">
      <c r="A1570" s="1" t="str">
        <f>IFERROR(__xludf.DUMMYFUNCTION("""COMPUTED_VALUE"""),"MOD")</f>
        <v>MOD</v>
      </c>
    </row>
    <row r="1571">
      <c r="A1571" s="1" t="str">
        <f>IFERROR(__xludf.DUMMYFUNCTION("""COMPUTED_VALUE"""),"MODN")</f>
        <v>MODN</v>
      </c>
    </row>
    <row r="1572">
      <c r="A1572" s="1" t="str">
        <f>IFERROR(__xludf.DUMMYFUNCTION("""COMPUTED_VALUE"""),"MOGU")</f>
        <v>MOGU</v>
      </c>
    </row>
    <row r="1573">
      <c r="A1573" s="1" t="str">
        <f>IFERROR(__xludf.DUMMYFUNCTION("""COMPUTED_VALUE"""),"MOH")</f>
        <v>MOH</v>
      </c>
    </row>
    <row r="1574">
      <c r="A1574" s="1" t="str">
        <f>IFERROR(__xludf.DUMMYFUNCTION("""COMPUTED_VALUE"""),"MOS")</f>
        <v>MOS</v>
      </c>
    </row>
    <row r="1575">
      <c r="A1575" s="1" t="str">
        <f>IFERROR(__xludf.DUMMYFUNCTION("""COMPUTED_VALUE"""),"MOTV")</f>
        <v>MOTV</v>
      </c>
    </row>
    <row r="1576">
      <c r="A1576" s="1" t="str">
        <f>IFERROR(__xludf.DUMMYFUNCTION("""COMPUTED_VALUE"""),"MOV")</f>
        <v>MOV</v>
      </c>
    </row>
    <row r="1577">
      <c r="A1577" s="1" t="str">
        <f>IFERROR(__xludf.DUMMYFUNCTION("""COMPUTED_VALUE"""),"MP")</f>
        <v>MP</v>
      </c>
    </row>
    <row r="1578">
      <c r="A1578" s="1" t="str">
        <f>IFERROR(__xludf.DUMMYFUNCTION("""COMPUTED_VALUE"""),"MPA")</f>
        <v>MPA</v>
      </c>
    </row>
    <row r="1579">
      <c r="A1579" s="1" t="str">
        <f>IFERROR(__xludf.DUMMYFUNCTION("""COMPUTED_VALUE"""),"MPC")</f>
        <v>MPC</v>
      </c>
    </row>
    <row r="1580">
      <c r="A1580" s="1" t="str">
        <f>IFERROR(__xludf.DUMMYFUNCTION("""COMPUTED_VALUE"""),"MPLN")</f>
        <v>MPLN</v>
      </c>
    </row>
    <row r="1581">
      <c r="A1581" s="1" t="str">
        <f>IFERROR(__xludf.DUMMYFUNCTION("""COMPUTED_VALUE"""),"MPLX")</f>
        <v>MPLX</v>
      </c>
    </row>
    <row r="1582">
      <c r="A1582" s="1" t="str">
        <f>IFERROR(__xludf.DUMMYFUNCTION("""COMPUTED_VALUE"""),"MPV")</f>
        <v>MPV</v>
      </c>
    </row>
    <row r="1583">
      <c r="A1583" s="1" t="str">
        <f>IFERROR(__xludf.DUMMYFUNCTION("""COMPUTED_VALUE"""),"MPW")</f>
        <v>MPW</v>
      </c>
    </row>
    <row r="1584">
      <c r="A1584" s="1" t="str">
        <f>IFERROR(__xludf.DUMMYFUNCTION("""COMPUTED_VALUE"""),"MPX")</f>
        <v>MPX</v>
      </c>
    </row>
    <row r="1585">
      <c r="A1585" s="1" t="str">
        <f>IFERROR(__xludf.DUMMYFUNCTION("""COMPUTED_VALUE"""),"MQT")</f>
        <v>MQT</v>
      </c>
    </row>
    <row r="1586">
      <c r="A1586" s="1" t="str">
        <f>IFERROR(__xludf.DUMMYFUNCTION("""COMPUTED_VALUE"""),"MQY")</f>
        <v>MQY</v>
      </c>
    </row>
    <row r="1587">
      <c r="A1587" s="1" t="str">
        <f>IFERROR(__xludf.DUMMYFUNCTION("""COMPUTED_VALUE"""),"MRC")</f>
        <v>MRC</v>
      </c>
    </row>
    <row r="1588">
      <c r="A1588" s="1" t="str">
        <f>IFERROR(__xludf.DUMMYFUNCTION("""COMPUTED_VALUE"""),"MRK")</f>
        <v>MRK</v>
      </c>
    </row>
    <row r="1589">
      <c r="A1589" s="1" t="str">
        <f>IFERROR(__xludf.DUMMYFUNCTION("""COMPUTED_VALUE"""),"MRO")</f>
        <v>MRO</v>
      </c>
    </row>
    <row r="1590">
      <c r="A1590" s="1" t="str">
        <f>IFERROR(__xludf.DUMMYFUNCTION("""COMPUTED_VALUE"""),"MS")</f>
        <v>MS</v>
      </c>
    </row>
    <row r="1591">
      <c r="A1591" s="1" t="str">
        <f>IFERROR(__xludf.DUMMYFUNCTION("""COMPUTED_VALUE"""),"MSA")</f>
        <v>MSA</v>
      </c>
    </row>
    <row r="1592">
      <c r="A1592" s="1" t="str">
        <f>IFERROR(__xludf.DUMMYFUNCTION("""COMPUTED_VALUE"""),"MSB")</f>
        <v>MSB</v>
      </c>
    </row>
    <row r="1593">
      <c r="A1593" s="1" t="str">
        <f>IFERROR(__xludf.DUMMYFUNCTION("""COMPUTED_VALUE"""),"MSC")</f>
        <v>MSC</v>
      </c>
    </row>
    <row r="1594">
      <c r="A1594" s="1" t="str">
        <f>IFERROR(__xludf.DUMMYFUNCTION("""COMPUTED_VALUE"""),"MSCI")</f>
        <v>MSCI</v>
      </c>
    </row>
    <row r="1595">
      <c r="A1595" s="1" t="str">
        <f>IFERROR(__xludf.DUMMYFUNCTION("""COMPUTED_VALUE"""),"MSD")</f>
        <v>MSD</v>
      </c>
    </row>
    <row r="1596">
      <c r="A1596" s="1" t="str">
        <f>IFERROR(__xludf.DUMMYFUNCTION("""COMPUTED_VALUE"""),"MSGE")</f>
        <v>MSGE</v>
      </c>
    </row>
    <row r="1597">
      <c r="A1597" s="1" t="str">
        <f>IFERROR(__xludf.DUMMYFUNCTION("""COMPUTED_VALUE"""),"MSGS")</f>
        <v>MSGS</v>
      </c>
    </row>
    <row r="1598">
      <c r="A1598" s="1" t="str">
        <f>IFERROR(__xludf.DUMMYFUNCTION("""COMPUTED_VALUE"""),"MSI")</f>
        <v>MSI</v>
      </c>
    </row>
    <row r="1599">
      <c r="A1599" s="1" t="str">
        <f>IFERROR(__xludf.DUMMYFUNCTION("""COMPUTED_VALUE"""),"MSM")</f>
        <v>MSM</v>
      </c>
    </row>
    <row r="1600">
      <c r="A1600" s="1" t="str">
        <f>IFERROR(__xludf.DUMMYFUNCTION("""COMPUTED_VALUE"""),"MSP")</f>
        <v>MSP</v>
      </c>
    </row>
    <row r="1601">
      <c r="A1601" s="1" t="str">
        <f>IFERROR(__xludf.DUMMYFUNCTION("""COMPUTED_VALUE"""),"MT")</f>
        <v>MT</v>
      </c>
    </row>
    <row r="1602">
      <c r="A1602" s="1" t="str">
        <f>IFERROR(__xludf.DUMMYFUNCTION("""COMPUTED_VALUE"""),"MTB")</f>
        <v>MTB</v>
      </c>
    </row>
    <row r="1603">
      <c r="A1603" s="1" t="str">
        <f>IFERROR(__xludf.DUMMYFUNCTION("""COMPUTED_VALUE"""),"MTCN")</f>
        <v>MTCN</v>
      </c>
    </row>
    <row r="1604">
      <c r="A1604" s="1" t="str">
        <f>IFERROR(__xludf.DUMMYFUNCTION("""COMPUTED_VALUE"""),"MTD")</f>
        <v>MTD</v>
      </c>
    </row>
    <row r="1605">
      <c r="A1605" s="1" t="str">
        <f>IFERROR(__xludf.DUMMYFUNCTION("""COMPUTED_VALUE"""),"MTDR")</f>
        <v>MTDR</v>
      </c>
    </row>
    <row r="1606">
      <c r="A1606" s="1" t="str">
        <f>IFERROR(__xludf.DUMMYFUNCTION("""COMPUTED_VALUE"""),"MTG")</f>
        <v>MTG</v>
      </c>
    </row>
    <row r="1607">
      <c r="A1607" s="1" t="str">
        <f>IFERROR(__xludf.DUMMYFUNCTION("""COMPUTED_VALUE"""),"MTH")</f>
        <v>MTH</v>
      </c>
    </row>
    <row r="1608">
      <c r="A1608" s="1" t="str">
        <f>IFERROR(__xludf.DUMMYFUNCTION("""COMPUTED_VALUE"""),"MTL")</f>
        <v>MTL</v>
      </c>
    </row>
    <row r="1609">
      <c r="A1609" s="1" t="str">
        <f>IFERROR(__xludf.DUMMYFUNCTION("""COMPUTED_VALUE"""),"MTN")</f>
        <v>MTN</v>
      </c>
    </row>
    <row r="1610">
      <c r="A1610" s="1" t="str">
        <f>IFERROR(__xludf.DUMMYFUNCTION("""COMPUTED_VALUE"""),"MTOR")</f>
        <v>MTOR</v>
      </c>
    </row>
    <row r="1611">
      <c r="A1611" s="1" t="str">
        <f>IFERROR(__xludf.DUMMYFUNCTION("""COMPUTED_VALUE"""),"MTR")</f>
        <v>MTR</v>
      </c>
    </row>
    <row r="1612">
      <c r="A1612" s="1" t="str">
        <f>IFERROR(__xludf.DUMMYFUNCTION("""COMPUTED_VALUE"""),"MTRN")</f>
        <v>MTRN</v>
      </c>
    </row>
    <row r="1613">
      <c r="A1613" s="1" t="str">
        <f>IFERROR(__xludf.DUMMYFUNCTION("""COMPUTED_VALUE"""),"MTW")</f>
        <v>MTW</v>
      </c>
    </row>
    <row r="1614">
      <c r="A1614" s="1" t="str">
        <f>IFERROR(__xludf.DUMMYFUNCTION("""COMPUTED_VALUE"""),"MTX")</f>
        <v>MTX</v>
      </c>
    </row>
    <row r="1615">
      <c r="A1615" s="1" t="str">
        <f>IFERROR(__xludf.DUMMYFUNCTION("""COMPUTED_VALUE"""),"MTZ")</f>
        <v>MTZ</v>
      </c>
    </row>
    <row r="1616">
      <c r="A1616" s="1" t="str">
        <f>IFERROR(__xludf.DUMMYFUNCTION("""COMPUTED_VALUE"""),"MUA")</f>
        <v>MUA</v>
      </c>
    </row>
    <row r="1617">
      <c r="A1617" s="1" t="str">
        <f>IFERROR(__xludf.DUMMYFUNCTION("""COMPUTED_VALUE"""),"MUC")</f>
        <v>MUC</v>
      </c>
    </row>
    <row r="1618">
      <c r="A1618" s="1" t="str">
        <f>IFERROR(__xludf.DUMMYFUNCTION("""COMPUTED_VALUE"""),"MUE")</f>
        <v>MUE</v>
      </c>
    </row>
    <row r="1619">
      <c r="A1619" s="1" t="str">
        <f>IFERROR(__xludf.DUMMYFUNCTION("""COMPUTED_VALUE"""),"MUFG")</f>
        <v>MUFG</v>
      </c>
    </row>
    <row r="1620">
      <c r="A1620" s="1" t="str">
        <f>IFERROR(__xludf.DUMMYFUNCTION("""COMPUTED_VALUE"""),"MUI")</f>
        <v>MUI</v>
      </c>
    </row>
    <row r="1621">
      <c r="A1621" s="1" t="str">
        <f>IFERROR(__xludf.DUMMYFUNCTION("""COMPUTED_VALUE"""),"MUJ")</f>
        <v>MUJ</v>
      </c>
    </row>
    <row r="1622">
      <c r="A1622" s="1" t="str">
        <f>IFERROR(__xludf.DUMMYFUNCTION("""COMPUTED_VALUE"""),"MUR")</f>
        <v>MUR</v>
      </c>
    </row>
    <row r="1623">
      <c r="A1623" s="1" t="str">
        <f>IFERROR(__xludf.DUMMYFUNCTION("""COMPUTED_VALUE"""),"MUSA")</f>
        <v>MUSA</v>
      </c>
    </row>
    <row r="1624">
      <c r="A1624" s="1" t="str">
        <f>IFERROR(__xludf.DUMMYFUNCTION("""COMPUTED_VALUE"""),"MUX")</f>
        <v>MUX</v>
      </c>
    </row>
    <row r="1625">
      <c r="A1625" s="1" t="str">
        <f>IFERROR(__xludf.DUMMYFUNCTION("""COMPUTED_VALUE"""),"MVF")</f>
        <v>MVF</v>
      </c>
    </row>
    <row r="1626">
      <c r="A1626" s="1" t="str">
        <f>IFERROR(__xludf.DUMMYFUNCTION("""COMPUTED_VALUE"""),"MVO")</f>
        <v>MVO</v>
      </c>
    </row>
    <row r="1627">
      <c r="A1627" s="1" t="str">
        <f>IFERROR(__xludf.DUMMYFUNCTION("""COMPUTED_VALUE"""),"MVT")</f>
        <v>MVT</v>
      </c>
    </row>
    <row r="1628">
      <c r="A1628" s="1" t="str">
        <f>IFERROR(__xludf.DUMMYFUNCTION("""COMPUTED_VALUE"""),"MWA")</f>
        <v>MWA</v>
      </c>
    </row>
    <row r="1629">
      <c r="A1629" s="1" t="str">
        <f>IFERROR(__xludf.DUMMYFUNCTION("""COMPUTED_VALUE"""),"MX")</f>
        <v>MX</v>
      </c>
    </row>
    <row r="1630">
      <c r="A1630" s="1" t="str">
        <f>IFERROR(__xludf.DUMMYFUNCTION("""COMPUTED_VALUE"""),"MXE")</f>
        <v>MXE</v>
      </c>
    </row>
    <row r="1631">
      <c r="A1631" s="1" t="str">
        <f>IFERROR(__xludf.DUMMYFUNCTION("""COMPUTED_VALUE"""),"MXF")</f>
        <v>MXF</v>
      </c>
    </row>
    <row r="1632">
      <c r="A1632" s="1" t="str">
        <f>IFERROR(__xludf.DUMMYFUNCTION("""COMPUTED_VALUE"""),"MXL")</f>
        <v>MXL</v>
      </c>
    </row>
    <row r="1633">
      <c r="A1633" s="1" t="str">
        <f>IFERROR(__xludf.DUMMYFUNCTION("""COMPUTED_VALUE"""),"MYC")</f>
        <v>MYC</v>
      </c>
    </row>
    <row r="1634">
      <c r="A1634" s="1" t="str">
        <f>IFERROR(__xludf.DUMMYFUNCTION("""COMPUTED_VALUE"""),"MYD")</f>
        <v>MYD</v>
      </c>
    </row>
    <row r="1635">
      <c r="A1635" s="1" t="str">
        <f>IFERROR(__xludf.DUMMYFUNCTION("""COMPUTED_VALUE"""),"MYE")</f>
        <v>MYE</v>
      </c>
    </row>
    <row r="1636">
      <c r="A1636" s="1" t="str">
        <f>IFERROR(__xludf.DUMMYFUNCTION("""COMPUTED_VALUE"""),"MYI")</f>
        <v>MYI</v>
      </c>
    </row>
    <row r="1637">
      <c r="A1637" s="1" t="str">
        <f>IFERROR(__xludf.DUMMYFUNCTION("""COMPUTED_VALUE"""),"MYJ")</f>
        <v>MYJ</v>
      </c>
    </row>
    <row r="1638">
      <c r="A1638" s="1" t="str">
        <f>IFERROR(__xludf.DUMMYFUNCTION("""COMPUTED_VALUE"""),"MYN")</f>
        <v>MYN</v>
      </c>
    </row>
    <row r="1639">
      <c r="A1639" s="1" t="str">
        <f>IFERROR(__xludf.DUMMYFUNCTION("""COMPUTED_VALUE"""),"MYOV")</f>
        <v>MYOV</v>
      </c>
    </row>
    <row r="1640">
      <c r="A1640" s="1" t="str">
        <f>IFERROR(__xludf.DUMMYFUNCTION("""COMPUTED_VALUE"""),"MYTE")</f>
        <v>MYTE</v>
      </c>
    </row>
    <row r="1641">
      <c r="A1641" s="1" t="str">
        <f>IFERROR(__xludf.DUMMYFUNCTION("""COMPUTED_VALUE"""),"NABL")</f>
        <v>NABL</v>
      </c>
    </row>
    <row r="1642">
      <c r="A1642" s="1" t="str">
        <f>IFERROR(__xludf.DUMMYFUNCTION("""COMPUTED_VALUE"""),"NAC")</f>
        <v>NAC</v>
      </c>
    </row>
    <row r="1643">
      <c r="A1643" s="1" t="str">
        <f>IFERROR(__xludf.DUMMYFUNCTION("""COMPUTED_VALUE"""),"NAD")</f>
        <v>NAD</v>
      </c>
    </row>
    <row r="1644">
      <c r="A1644" s="1" t="str">
        <f>IFERROR(__xludf.DUMMYFUNCTION("""COMPUTED_VALUE"""),"NAN")</f>
        <v>NAN</v>
      </c>
    </row>
    <row r="1645">
      <c r="A1645" s="1" t="str">
        <f>IFERROR(__xludf.DUMMYFUNCTION("""COMPUTED_VALUE"""),"NAPA")</f>
        <v>NAPA</v>
      </c>
    </row>
    <row r="1646">
      <c r="A1646" s="1" t="str">
        <f>IFERROR(__xludf.DUMMYFUNCTION("""COMPUTED_VALUE"""),"NAT")</f>
        <v>NAT</v>
      </c>
    </row>
    <row r="1647">
      <c r="A1647" s="1" t="str">
        <f>IFERROR(__xludf.DUMMYFUNCTION("""COMPUTED_VALUE"""),"NAZ")</f>
        <v>NAZ</v>
      </c>
    </row>
    <row r="1648">
      <c r="A1648" s="1" t="str">
        <f>IFERROR(__xludf.DUMMYFUNCTION("""COMPUTED_VALUE"""),"NBB")</f>
        <v>NBB</v>
      </c>
    </row>
    <row r="1649">
      <c r="A1649" s="1" t="str">
        <f>IFERROR(__xludf.DUMMYFUNCTION("""COMPUTED_VALUE"""),"NBHC")</f>
        <v>NBHC</v>
      </c>
    </row>
    <row r="1650">
      <c r="A1650" s="1" t="str">
        <f>IFERROR(__xludf.DUMMYFUNCTION("""COMPUTED_VALUE"""),"NBR")</f>
        <v>NBR</v>
      </c>
    </row>
    <row r="1651">
      <c r="A1651" s="1" t="str">
        <f>IFERROR(__xludf.DUMMYFUNCTION("""COMPUTED_VALUE"""),"NBXG")</f>
        <v>NBXG</v>
      </c>
    </row>
    <row r="1652">
      <c r="A1652" s="1" t="str">
        <f>IFERROR(__xludf.DUMMYFUNCTION("""COMPUTED_VALUE"""),"NC")</f>
        <v>NC</v>
      </c>
    </row>
    <row r="1653">
      <c r="A1653" s="1" t="str">
        <f>IFERROR(__xludf.DUMMYFUNCTION("""COMPUTED_VALUE"""),"NCA")</f>
        <v>NCA</v>
      </c>
    </row>
    <row r="1654">
      <c r="A1654" s="1" t="str">
        <f>IFERROR(__xludf.DUMMYFUNCTION("""COMPUTED_VALUE"""),"NCLH")</f>
        <v>NCLH</v>
      </c>
    </row>
    <row r="1655">
      <c r="A1655" s="1" t="str">
        <f>IFERROR(__xludf.DUMMYFUNCTION("""COMPUTED_VALUE"""),"NCR")</f>
        <v>NCR</v>
      </c>
    </row>
    <row r="1656">
      <c r="A1656" s="1" t="str">
        <f>IFERROR(__xludf.DUMMYFUNCTION("""COMPUTED_VALUE"""),"NCV")</f>
        <v>NCV</v>
      </c>
    </row>
    <row r="1657">
      <c r="A1657" s="1" t="str">
        <f>IFERROR(__xludf.DUMMYFUNCTION("""COMPUTED_VALUE"""),"NCZ")</f>
        <v>NCZ</v>
      </c>
    </row>
    <row r="1658">
      <c r="A1658" s="1" t="str">
        <f>IFERROR(__xludf.DUMMYFUNCTION("""COMPUTED_VALUE"""),"NDMO")</f>
        <v>NDMO</v>
      </c>
    </row>
    <row r="1659">
      <c r="A1659" s="1" t="str">
        <f>IFERROR(__xludf.DUMMYFUNCTION("""COMPUTED_VALUE"""),"NDP")</f>
        <v>NDP</v>
      </c>
    </row>
    <row r="1660">
      <c r="A1660" s="1" t="str">
        <f>IFERROR(__xludf.DUMMYFUNCTION("""COMPUTED_VALUE"""),"NE")</f>
        <v>NE</v>
      </c>
    </row>
    <row r="1661">
      <c r="A1661" s="1" t="str">
        <f>IFERROR(__xludf.DUMMYFUNCTION("""COMPUTED_VALUE"""),"NEA")</f>
        <v>NEA</v>
      </c>
    </row>
    <row r="1662">
      <c r="A1662" s="1" t="str">
        <f>IFERROR(__xludf.DUMMYFUNCTION("""COMPUTED_VALUE"""),"NEE")</f>
        <v>NEE</v>
      </c>
    </row>
    <row r="1663">
      <c r="A1663" s="1" t="str">
        <f>IFERROR(__xludf.DUMMYFUNCTION("""COMPUTED_VALUE"""),"NEM")</f>
        <v>NEM</v>
      </c>
    </row>
    <row r="1664">
      <c r="A1664" s="1" t="str">
        <f>IFERROR(__xludf.DUMMYFUNCTION("""COMPUTED_VALUE"""),"NEP")</f>
        <v>NEP</v>
      </c>
    </row>
    <row r="1665">
      <c r="A1665" s="1" t="str">
        <f>IFERROR(__xludf.DUMMYFUNCTION("""COMPUTED_VALUE"""),"NET")</f>
        <v>NET</v>
      </c>
    </row>
    <row r="1666">
      <c r="A1666" s="1" t="str">
        <f>IFERROR(__xludf.DUMMYFUNCTION("""COMPUTED_VALUE"""),"NETI")</f>
        <v>NETI</v>
      </c>
    </row>
    <row r="1667">
      <c r="A1667" s="1" t="str">
        <f>IFERROR(__xludf.DUMMYFUNCTION("""COMPUTED_VALUE"""),"NEU")</f>
        <v>NEU</v>
      </c>
    </row>
    <row r="1668">
      <c r="A1668" s="1" t="str">
        <f>IFERROR(__xludf.DUMMYFUNCTION("""COMPUTED_VALUE"""),"NEV")</f>
        <v>NEV</v>
      </c>
    </row>
    <row r="1669">
      <c r="A1669" s="1" t="str">
        <f>IFERROR(__xludf.DUMMYFUNCTION("""COMPUTED_VALUE"""),"NEW")</f>
        <v>NEW</v>
      </c>
    </row>
    <row r="1670">
      <c r="A1670" s="1" t="str">
        <f>IFERROR(__xludf.DUMMYFUNCTION("""COMPUTED_VALUE"""),"NEWR")</f>
        <v>NEWR</v>
      </c>
    </row>
    <row r="1671">
      <c r="A1671" s="1" t="str">
        <f>IFERROR(__xludf.DUMMYFUNCTION("""COMPUTED_VALUE"""),"NEX")</f>
        <v>NEX</v>
      </c>
    </row>
    <row r="1672">
      <c r="A1672" s="1" t="str">
        <f>IFERROR(__xludf.DUMMYFUNCTION("""COMPUTED_VALUE"""),"NEXA")</f>
        <v>NEXA</v>
      </c>
    </row>
    <row r="1673">
      <c r="A1673" s="1" t="str">
        <f>IFERROR(__xludf.DUMMYFUNCTION("""COMPUTED_VALUE"""),"NFG")</f>
        <v>NFG</v>
      </c>
    </row>
    <row r="1674">
      <c r="A1674" s="1" t="str">
        <f>IFERROR(__xludf.DUMMYFUNCTION("""COMPUTED_VALUE"""),"NFH")</f>
        <v>NFH</v>
      </c>
    </row>
    <row r="1675">
      <c r="A1675" s="1" t="str">
        <f>IFERROR(__xludf.DUMMYFUNCTION("""COMPUTED_VALUE"""),"NFJ")</f>
        <v>NFJ</v>
      </c>
    </row>
    <row r="1676">
      <c r="A1676" s="1" t="str">
        <f>IFERROR(__xludf.DUMMYFUNCTION("""COMPUTED_VALUE"""),"NGAB")</f>
        <v>NGAB</v>
      </c>
    </row>
    <row r="1677">
      <c r="A1677" s="1" t="str">
        <f>IFERROR(__xludf.DUMMYFUNCTION("""COMPUTED_VALUE"""),"NGC")</f>
        <v>NGC</v>
      </c>
    </row>
    <row r="1678">
      <c r="A1678" s="1" t="str">
        <f>IFERROR(__xludf.DUMMYFUNCTION("""COMPUTED_VALUE"""),"NGG")</f>
        <v>NGG</v>
      </c>
    </row>
    <row r="1679">
      <c r="A1679" s="1" t="str">
        <f>IFERROR(__xludf.DUMMYFUNCTION("""COMPUTED_VALUE"""),"NGL")</f>
        <v>NGL</v>
      </c>
    </row>
    <row r="1680">
      <c r="A1680" s="1" t="str">
        <f>IFERROR(__xludf.DUMMYFUNCTION("""COMPUTED_VALUE"""),"NGS")</f>
        <v>NGS</v>
      </c>
    </row>
    <row r="1681">
      <c r="A1681" s="1" t="str">
        <f>IFERROR(__xludf.DUMMYFUNCTION("""COMPUTED_VALUE"""),"NGVC")</f>
        <v>NGVC</v>
      </c>
    </row>
    <row r="1682">
      <c r="A1682" s="1" t="str">
        <f>IFERROR(__xludf.DUMMYFUNCTION("""COMPUTED_VALUE"""),"NGVT")</f>
        <v>NGVT</v>
      </c>
    </row>
    <row r="1683">
      <c r="A1683" s="1" t="str">
        <f>IFERROR(__xludf.DUMMYFUNCTION("""COMPUTED_VALUE"""),"NHF")</f>
        <v>NHF</v>
      </c>
    </row>
    <row r="1684">
      <c r="A1684" s="1" t="str">
        <f>IFERROR(__xludf.DUMMYFUNCTION("""COMPUTED_VALUE"""),"NHI")</f>
        <v>NHI</v>
      </c>
    </row>
    <row r="1685">
      <c r="A1685" s="1" t="str">
        <f>IFERROR(__xludf.DUMMYFUNCTION("""COMPUTED_VALUE"""),"NI")</f>
        <v>NI</v>
      </c>
    </row>
    <row r="1686">
      <c r="A1686" s="1" t="str">
        <f>IFERROR(__xludf.DUMMYFUNCTION("""COMPUTED_VALUE"""),"NID")</f>
        <v>NID</v>
      </c>
    </row>
    <row r="1687">
      <c r="A1687" s="1" t="str">
        <f>IFERROR(__xludf.DUMMYFUNCTION("""COMPUTED_VALUE"""),"NIE")</f>
        <v>NIE</v>
      </c>
    </row>
    <row r="1688">
      <c r="A1688" s="1" t="str">
        <f>IFERROR(__xludf.DUMMYFUNCTION("""COMPUTED_VALUE"""),"NIM")</f>
        <v>NIM</v>
      </c>
    </row>
    <row r="1689">
      <c r="A1689" s="1" t="str">
        <f>IFERROR(__xludf.DUMMYFUNCTION("""COMPUTED_VALUE"""),"NIMC")</f>
        <v>NIMC</v>
      </c>
    </row>
    <row r="1690">
      <c r="A1690" s="1" t="str">
        <f>IFERROR(__xludf.DUMMYFUNCTION("""COMPUTED_VALUE"""),"NINE")</f>
        <v>NINE</v>
      </c>
    </row>
    <row r="1691">
      <c r="A1691" s="1" t="str">
        <f>IFERROR(__xludf.DUMMYFUNCTION("""COMPUTED_VALUE"""),"NIO")</f>
        <v>NIO</v>
      </c>
    </row>
    <row r="1692">
      <c r="A1692" s="1" t="str">
        <f>IFERROR(__xludf.DUMMYFUNCTION("""COMPUTED_VALUE"""),"NIQ")</f>
        <v>NIQ</v>
      </c>
    </row>
    <row r="1693">
      <c r="A1693" s="1" t="str">
        <f>IFERROR(__xludf.DUMMYFUNCTION("""COMPUTED_VALUE"""),"NJR")</f>
        <v>NJR</v>
      </c>
    </row>
    <row r="1694">
      <c r="A1694" s="1" t="str">
        <f>IFERROR(__xludf.DUMMYFUNCTION("""COMPUTED_VALUE"""),"NKE")</f>
        <v>NKE</v>
      </c>
    </row>
    <row r="1695">
      <c r="A1695" s="1" t="str">
        <f>IFERROR(__xludf.DUMMYFUNCTION("""COMPUTED_VALUE"""),"NKG")</f>
        <v>NKG</v>
      </c>
    </row>
    <row r="1696">
      <c r="A1696" s="1" t="str">
        <f>IFERROR(__xludf.DUMMYFUNCTION("""COMPUTED_VALUE"""),"NKX")</f>
        <v>NKX</v>
      </c>
    </row>
    <row r="1697">
      <c r="A1697" s="1" t="str">
        <f>IFERROR(__xludf.DUMMYFUNCTION("""COMPUTED_VALUE"""),"NL")</f>
        <v>NL</v>
      </c>
    </row>
    <row r="1698">
      <c r="A1698" s="1" t="str">
        <f>IFERROR(__xludf.DUMMYFUNCTION("""COMPUTED_VALUE"""),"NLS")</f>
        <v>NLS</v>
      </c>
    </row>
    <row r="1699">
      <c r="A1699" s="1" t="str">
        <f>IFERROR(__xludf.DUMMYFUNCTION("""COMPUTED_VALUE"""),"NLSN")</f>
        <v>NLSN</v>
      </c>
    </row>
    <row r="1700">
      <c r="A1700" s="1" t="str">
        <f>IFERROR(__xludf.DUMMYFUNCTION("""COMPUTED_VALUE"""),"NLY")</f>
        <v>NLY</v>
      </c>
    </row>
    <row r="1701">
      <c r="A1701" s="1" t="str">
        <f>IFERROR(__xludf.DUMMYFUNCTION("""COMPUTED_VALUE"""),"NM")</f>
        <v>NM</v>
      </c>
    </row>
    <row r="1702">
      <c r="A1702" s="1" t="str">
        <f>IFERROR(__xludf.DUMMYFUNCTION("""COMPUTED_VALUE"""),"NMCO")</f>
        <v>NMCO</v>
      </c>
    </row>
    <row r="1703">
      <c r="A1703" s="1" t="str">
        <f>IFERROR(__xludf.DUMMYFUNCTION("""COMPUTED_VALUE"""),"NMG")</f>
        <v>NMG</v>
      </c>
    </row>
    <row r="1704">
      <c r="A1704" s="1" t="str">
        <f>IFERROR(__xludf.DUMMYFUNCTION("""COMPUTED_VALUE"""),"NMI")</f>
        <v>NMI</v>
      </c>
    </row>
    <row r="1705">
      <c r="A1705" s="1" t="str">
        <f>IFERROR(__xludf.DUMMYFUNCTION("""COMPUTED_VALUE"""),"NMM")</f>
        <v>NMM</v>
      </c>
    </row>
    <row r="1706">
      <c r="A1706" s="1" t="str">
        <f>IFERROR(__xludf.DUMMYFUNCTION("""COMPUTED_VALUE"""),"NMR")</f>
        <v>NMR</v>
      </c>
    </row>
    <row r="1707">
      <c r="A1707" s="1" t="str">
        <f>IFERROR(__xludf.DUMMYFUNCTION("""COMPUTED_VALUE"""),"NMS")</f>
        <v>NMS</v>
      </c>
    </row>
    <row r="1708">
      <c r="A1708" s="1" t="str">
        <f>IFERROR(__xludf.DUMMYFUNCTION("""COMPUTED_VALUE"""),"NMT")</f>
        <v>NMT</v>
      </c>
    </row>
    <row r="1709">
      <c r="A1709" s="1" t="str">
        <f>IFERROR(__xludf.DUMMYFUNCTION("""COMPUTED_VALUE"""),"NMZ")</f>
        <v>NMZ</v>
      </c>
    </row>
    <row r="1710">
      <c r="A1710" s="1" t="str">
        <f>IFERROR(__xludf.DUMMYFUNCTION("""COMPUTED_VALUE"""),"NNA")</f>
        <v>NNA</v>
      </c>
    </row>
    <row r="1711">
      <c r="A1711" s="1" t="str">
        <f>IFERROR(__xludf.DUMMYFUNCTION("""COMPUTED_VALUE"""),"NNI")</f>
        <v>NNI</v>
      </c>
    </row>
    <row r="1712">
      <c r="A1712" s="1" t="str">
        <f>IFERROR(__xludf.DUMMYFUNCTION("""COMPUTED_VALUE"""),"NNN")</f>
        <v>NNN</v>
      </c>
    </row>
    <row r="1713">
      <c r="A1713" s="1" t="str">
        <f>IFERROR(__xludf.DUMMYFUNCTION("""COMPUTED_VALUE"""),"NNY")</f>
        <v>NNY</v>
      </c>
    </row>
    <row r="1714">
      <c r="A1714" s="1" t="str">
        <f>IFERROR(__xludf.DUMMYFUNCTION("""COMPUTED_VALUE"""),"NOA")</f>
        <v>NOA</v>
      </c>
    </row>
    <row r="1715">
      <c r="A1715" s="1" t="str">
        <f>IFERROR(__xludf.DUMMYFUNCTION("""COMPUTED_VALUE"""),"NOAH")</f>
        <v>NOAH</v>
      </c>
    </row>
    <row r="1716">
      <c r="A1716" s="1" t="str">
        <f>IFERROR(__xludf.DUMMYFUNCTION("""COMPUTED_VALUE"""),"NOC")</f>
        <v>NOC</v>
      </c>
    </row>
    <row r="1717">
      <c r="A1717" s="1" t="str">
        <f>IFERROR(__xludf.DUMMYFUNCTION("""COMPUTED_VALUE"""),"NOK")</f>
        <v>NOK</v>
      </c>
    </row>
    <row r="1718">
      <c r="A1718" s="1" t="str">
        <f>IFERROR(__xludf.DUMMYFUNCTION("""COMPUTED_VALUE"""),"NOM")</f>
        <v>NOM</v>
      </c>
    </row>
    <row r="1719">
      <c r="A1719" s="1" t="str">
        <f>IFERROR(__xludf.DUMMYFUNCTION("""COMPUTED_VALUE"""),"NOMD")</f>
        <v>NOMD</v>
      </c>
    </row>
    <row r="1720">
      <c r="A1720" s="1" t="str">
        <f>IFERROR(__xludf.DUMMYFUNCTION("""COMPUTED_VALUE"""),"NOV")</f>
        <v>NOV</v>
      </c>
    </row>
    <row r="1721">
      <c r="A1721" s="1" t="str">
        <f>IFERROR(__xludf.DUMMYFUNCTION("""COMPUTED_VALUE"""),"NOVA")</f>
        <v>NOVA</v>
      </c>
    </row>
    <row r="1722">
      <c r="A1722" s="1" t="str">
        <f>IFERROR(__xludf.DUMMYFUNCTION("""COMPUTED_VALUE"""),"NOW")</f>
        <v>NOW</v>
      </c>
    </row>
    <row r="1723">
      <c r="A1723" s="1" t="str">
        <f>IFERROR(__xludf.DUMMYFUNCTION("""COMPUTED_VALUE"""),"NP")</f>
        <v>NP</v>
      </c>
    </row>
    <row r="1724">
      <c r="A1724" s="1" t="str">
        <f>IFERROR(__xludf.DUMMYFUNCTION("""COMPUTED_VALUE"""),"NPCT")</f>
        <v>NPCT</v>
      </c>
    </row>
    <row r="1725">
      <c r="A1725" s="1" t="str">
        <f>IFERROR(__xludf.DUMMYFUNCTION("""COMPUTED_VALUE"""),"NPK")</f>
        <v>NPK</v>
      </c>
    </row>
    <row r="1726">
      <c r="A1726" s="1" t="str">
        <f>IFERROR(__xludf.DUMMYFUNCTION("""COMPUTED_VALUE"""),"NPO")</f>
        <v>NPO</v>
      </c>
    </row>
    <row r="1727">
      <c r="A1727" s="1" t="str">
        <f>IFERROR(__xludf.DUMMYFUNCTION("""COMPUTED_VALUE"""),"NPTN")</f>
        <v>NPTN</v>
      </c>
    </row>
    <row r="1728">
      <c r="A1728" s="1" t="str">
        <f>IFERROR(__xludf.DUMMYFUNCTION("""COMPUTED_VALUE"""),"NPV")</f>
        <v>NPV</v>
      </c>
    </row>
    <row r="1729">
      <c r="A1729" s="1" t="str">
        <f>IFERROR(__xludf.DUMMYFUNCTION("""COMPUTED_VALUE"""),"NQP")</f>
        <v>NQP</v>
      </c>
    </row>
    <row r="1730">
      <c r="A1730" s="1" t="str">
        <f>IFERROR(__xludf.DUMMYFUNCTION("""COMPUTED_VALUE"""),"NR")</f>
        <v>NR</v>
      </c>
    </row>
    <row r="1731">
      <c r="A1731" s="1" t="str">
        <f>IFERROR(__xludf.DUMMYFUNCTION("""COMPUTED_VALUE"""),"NREF")</f>
        <v>NREF</v>
      </c>
    </row>
    <row r="1732">
      <c r="A1732" s="1" t="str">
        <f>IFERROR(__xludf.DUMMYFUNCTION("""COMPUTED_VALUE"""),"NRG")</f>
        <v>NRG</v>
      </c>
    </row>
    <row r="1733">
      <c r="A1733" s="1" t="str">
        <f>IFERROR(__xludf.DUMMYFUNCTION("""COMPUTED_VALUE"""),"NRGX")</f>
        <v>NRGX</v>
      </c>
    </row>
    <row r="1734">
      <c r="A1734" s="1" t="str">
        <f>IFERROR(__xludf.DUMMYFUNCTION("""COMPUTED_VALUE"""),"NRK")</f>
        <v>NRK</v>
      </c>
    </row>
    <row r="1735">
      <c r="A1735" s="1" t="str">
        <f>IFERROR(__xludf.DUMMYFUNCTION("""COMPUTED_VALUE"""),"NRP")</f>
        <v>NRP</v>
      </c>
    </row>
    <row r="1736">
      <c r="A1736" s="1" t="str">
        <f>IFERROR(__xludf.DUMMYFUNCTION("""COMPUTED_VALUE"""),"NRT")</f>
        <v>NRT</v>
      </c>
    </row>
    <row r="1737">
      <c r="A1737" s="1" t="str">
        <f>IFERROR(__xludf.DUMMYFUNCTION("""COMPUTED_VALUE"""),"NRUC")</f>
        <v>NRUC</v>
      </c>
    </row>
    <row r="1738">
      <c r="A1738" s="1" t="str">
        <f>IFERROR(__xludf.DUMMYFUNCTION("""COMPUTED_VALUE"""),"NRZ")</f>
        <v>NRZ</v>
      </c>
    </row>
    <row r="1739">
      <c r="A1739" s="1" t="str">
        <f>IFERROR(__xludf.DUMMYFUNCTION("""COMPUTED_VALUE"""),"NS")</f>
        <v>NS</v>
      </c>
    </row>
    <row r="1740">
      <c r="A1740" s="1" t="str">
        <f>IFERROR(__xludf.DUMMYFUNCTION("""COMPUTED_VALUE"""),"NSA")</f>
        <v>NSA</v>
      </c>
    </row>
    <row r="1741">
      <c r="A1741" s="1" t="str">
        <f>IFERROR(__xludf.DUMMYFUNCTION("""COMPUTED_VALUE"""),"NSC")</f>
        <v>NSC</v>
      </c>
    </row>
    <row r="1742">
      <c r="A1742" s="1" t="str">
        <f>IFERROR(__xludf.DUMMYFUNCTION("""COMPUTED_VALUE"""),"NSH")</f>
        <v>NSH</v>
      </c>
    </row>
    <row r="1743">
      <c r="A1743" s="1" t="str">
        <f>IFERROR(__xludf.DUMMYFUNCTION("""COMPUTED_VALUE"""),"NSL")</f>
        <v>NSL</v>
      </c>
    </row>
    <row r="1744">
      <c r="A1744" s="1" t="str">
        <f>IFERROR(__xludf.DUMMYFUNCTION("""COMPUTED_VALUE"""),"NSP")</f>
        <v>NSP</v>
      </c>
    </row>
    <row r="1745">
      <c r="A1745" s="1" t="str">
        <f>IFERROR(__xludf.DUMMYFUNCTION("""COMPUTED_VALUE"""),"NSS")</f>
        <v>NSS</v>
      </c>
    </row>
    <row r="1746">
      <c r="A1746" s="1" t="str">
        <f>IFERROR(__xludf.DUMMYFUNCTION("""COMPUTED_VALUE"""),"NSTB")</f>
        <v>NSTB</v>
      </c>
    </row>
    <row r="1747">
      <c r="A1747" s="1" t="str">
        <f>IFERROR(__xludf.DUMMYFUNCTION("""COMPUTED_VALUE"""),"NSTC")</f>
        <v>NSTC</v>
      </c>
    </row>
    <row r="1748">
      <c r="A1748" s="1" t="str">
        <f>IFERROR(__xludf.DUMMYFUNCTION("""COMPUTED_VALUE"""),"NSTD")</f>
        <v>NSTD</v>
      </c>
    </row>
    <row r="1749">
      <c r="A1749" s="1" t="str">
        <f>IFERROR(__xludf.DUMMYFUNCTION("""COMPUTED_VALUE"""),"NTB")</f>
        <v>NTB</v>
      </c>
    </row>
    <row r="1750">
      <c r="A1750" s="1" t="str">
        <f>IFERROR(__xludf.DUMMYFUNCTION("""COMPUTED_VALUE"""),"NTCO")</f>
        <v>NTCO</v>
      </c>
    </row>
    <row r="1751">
      <c r="A1751" s="1" t="str">
        <f>IFERROR(__xludf.DUMMYFUNCTION("""COMPUTED_VALUE"""),"NTG")</f>
        <v>NTG</v>
      </c>
    </row>
    <row r="1752">
      <c r="A1752" s="1" t="str">
        <f>IFERROR(__xludf.DUMMYFUNCTION("""COMPUTED_VALUE"""),"NTP")</f>
        <v>NTP</v>
      </c>
    </row>
    <row r="1753">
      <c r="A1753" s="1" t="str">
        <f>IFERROR(__xludf.DUMMYFUNCTION("""COMPUTED_VALUE"""),"NTR")</f>
        <v>NTR</v>
      </c>
    </row>
    <row r="1754">
      <c r="A1754" s="1" t="str">
        <f>IFERROR(__xludf.DUMMYFUNCTION("""COMPUTED_VALUE"""),"NTST")</f>
        <v>NTST</v>
      </c>
    </row>
    <row r="1755">
      <c r="A1755" s="1" t="str">
        <f>IFERROR(__xludf.DUMMYFUNCTION("""COMPUTED_VALUE"""),"NTZ")</f>
        <v>NTZ</v>
      </c>
    </row>
    <row r="1756">
      <c r="A1756" s="1" t="str">
        <f>IFERROR(__xludf.DUMMYFUNCTION("""COMPUTED_VALUE"""),"NUE")</f>
        <v>NUE</v>
      </c>
    </row>
    <row r="1757">
      <c r="A1757" s="1" t="str">
        <f>IFERROR(__xludf.DUMMYFUNCTION("""COMPUTED_VALUE"""),"NUO")</f>
        <v>NUO</v>
      </c>
    </row>
    <row r="1758">
      <c r="A1758" s="1" t="str">
        <f>IFERROR(__xludf.DUMMYFUNCTION("""COMPUTED_VALUE"""),"NUS")</f>
        <v>NUS</v>
      </c>
    </row>
    <row r="1759">
      <c r="A1759" s="1" t="str">
        <f>IFERROR(__xludf.DUMMYFUNCTION("""COMPUTED_VALUE"""),"NUV")</f>
        <v>NUV</v>
      </c>
    </row>
    <row r="1760">
      <c r="A1760" s="1" t="str">
        <f>IFERROR(__xludf.DUMMYFUNCTION("""COMPUTED_VALUE"""),"NUVB")</f>
        <v>NUVB</v>
      </c>
    </row>
    <row r="1761">
      <c r="A1761" s="1" t="str">
        <f>IFERROR(__xludf.DUMMYFUNCTION("""COMPUTED_VALUE"""),"NUW")</f>
        <v>NUW</v>
      </c>
    </row>
    <row r="1762">
      <c r="A1762" s="1" t="str">
        <f>IFERROR(__xludf.DUMMYFUNCTION("""COMPUTED_VALUE"""),"NVG")</f>
        <v>NVG</v>
      </c>
    </row>
    <row r="1763">
      <c r="A1763" s="1" t="str">
        <f>IFERROR(__xludf.DUMMYFUNCTION("""COMPUTED_VALUE"""),"NVGS")</f>
        <v>NVGS</v>
      </c>
    </row>
    <row r="1764">
      <c r="A1764" s="1" t="str">
        <f>IFERROR(__xludf.DUMMYFUNCTION("""COMPUTED_VALUE"""),"NVO")</f>
        <v>NVO</v>
      </c>
    </row>
    <row r="1765">
      <c r="A1765" s="1" t="str">
        <f>IFERROR(__xludf.DUMMYFUNCTION("""COMPUTED_VALUE"""),"NVR")</f>
        <v>NVR</v>
      </c>
    </row>
    <row r="1766">
      <c r="A1766" s="1" t="str">
        <f>IFERROR(__xludf.DUMMYFUNCTION("""COMPUTED_VALUE"""),"NVRO")</f>
        <v>NVRO</v>
      </c>
    </row>
    <row r="1767">
      <c r="A1767" s="1" t="str">
        <f>IFERROR(__xludf.DUMMYFUNCTION("""COMPUTED_VALUE"""),"NVS")</f>
        <v>NVS</v>
      </c>
    </row>
    <row r="1768">
      <c r="A1768" s="1" t="str">
        <f>IFERROR(__xludf.DUMMYFUNCTION("""COMPUTED_VALUE"""),"NVST")</f>
        <v>NVST</v>
      </c>
    </row>
    <row r="1769">
      <c r="A1769" s="1" t="str">
        <f>IFERROR(__xludf.DUMMYFUNCTION("""COMPUTED_VALUE"""),"NVT")</f>
        <v>NVT</v>
      </c>
    </row>
    <row r="1770">
      <c r="A1770" s="1" t="str">
        <f>IFERROR(__xludf.DUMMYFUNCTION("""COMPUTED_VALUE"""),"NVTA")</f>
        <v>NVTA</v>
      </c>
    </row>
    <row r="1771">
      <c r="A1771" s="1" t="str">
        <f>IFERROR(__xludf.DUMMYFUNCTION("""COMPUTED_VALUE"""),"NWG")</f>
        <v>NWG</v>
      </c>
    </row>
    <row r="1772">
      <c r="A1772" s="1" t="str">
        <f>IFERROR(__xludf.DUMMYFUNCTION("""COMPUTED_VALUE"""),"NWHM")</f>
        <v>NWHM</v>
      </c>
    </row>
    <row r="1773">
      <c r="A1773" s="1" t="str">
        <f>IFERROR(__xludf.DUMMYFUNCTION("""COMPUTED_VALUE"""),"NWN")</f>
        <v>NWN</v>
      </c>
    </row>
    <row r="1774">
      <c r="A1774" s="1" t="str">
        <f>IFERROR(__xludf.DUMMYFUNCTION("""COMPUTED_VALUE"""),"NX")</f>
        <v>NX</v>
      </c>
    </row>
    <row r="1775">
      <c r="A1775" s="1" t="str">
        <f>IFERROR(__xludf.DUMMYFUNCTION("""COMPUTED_VALUE"""),"NXC")</f>
        <v>NXC</v>
      </c>
    </row>
    <row r="1776">
      <c r="A1776" s="1" t="str">
        <f>IFERROR(__xludf.DUMMYFUNCTION("""COMPUTED_VALUE"""),"NXJ")</f>
        <v>NXJ</v>
      </c>
    </row>
    <row r="1777">
      <c r="A1777" s="1" t="str">
        <f>IFERROR(__xludf.DUMMYFUNCTION("""COMPUTED_VALUE"""),"NXN")</f>
        <v>NXN</v>
      </c>
    </row>
    <row r="1778">
      <c r="A1778" s="1" t="str">
        <f>IFERROR(__xludf.DUMMYFUNCTION("""COMPUTED_VALUE"""),"NXP")</f>
        <v>NXP</v>
      </c>
    </row>
    <row r="1779">
      <c r="A1779" s="1" t="str">
        <f>IFERROR(__xludf.DUMMYFUNCTION("""COMPUTED_VALUE"""),"NXQ")</f>
        <v>NXQ</v>
      </c>
    </row>
    <row r="1780">
      <c r="A1780" s="1" t="str">
        <f>IFERROR(__xludf.DUMMYFUNCTION("""COMPUTED_VALUE"""),"NXR")</f>
        <v>NXR</v>
      </c>
    </row>
    <row r="1781">
      <c r="A1781" s="1" t="str">
        <f>IFERROR(__xludf.DUMMYFUNCTION("""COMPUTED_VALUE"""),"NXRT")</f>
        <v>NXRT</v>
      </c>
    </row>
    <row r="1782">
      <c r="A1782" s="1" t="str">
        <f>IFERROR(__xludf.DUMMYFUNCTION("""COMPUTED_VALUE"""),"NXU")</f>
        <v>NXU</v>
      </c>
    </row>
    <row r="1783">
      <c r="A1783" s="1" t="str">
        <f>IFERROR(__xludf.DUMMYFUNCTION("""COMPUTED_VALUE"""),"NYC")</f>
        <v>NYC</v>
      </c>
    </row>
    <row r="1784">
      <c r="A1784" s="1" t="str">
        <f>IFERROR(__xludf.DUMMYFUNCTION("""COMPUTED_VALUE"""),"NYCB")</f>
        <v>NYCB</v>
      </c>
    </row>
    <row r="1785">
      <c r="A1785" s="1" t="str">
        <f>IFERROR(__xludf.DUMMYFUNCTION("""COMPUTED_VALUE"""),"NYT")</f>
        <v>NYT</v>
      </c>
    </row>
    <row r="1786">
      <c r="A1786" s="1" t="str">
        <f>IFERROR(__xludf.DUMMYFUNCTION("""COMPUTED_VALUE"""),"NZF")</f>
        <v>NZF</v>
      </c>
    </row>
    <row r="1787">
      <c r="A1787" s="1" t="str">
        <f>IFERROR(__xludf.DUMMYFUNCTION("""COMPUTED_VALUE"""),"O")</f>
        <v>O</v>
      </c>
    </row>
    <row r="1788">
      <c r="A1788" s="1" t="str">
        <f>IFERROR(__xludf.DUMMYFUNCTION("""COMPUTED_VALUE"""),"OACB")</f>
        <v>OACB</v>
      </c>
    </row>
    <row r="1789">
      <c r="A1789" s="1" t="str">
        <f>IFERROR(__xludf.DUMMYFUNCTION("""COMPUTED_VALUE"""),"OC")</f>
        <v>OC</v>
      </c>
    </row>
    <row r="1790">
      <c r="A1790" s="1" t="str">
        <f>IFERROR(__xludf.DUMMYFUNCTION("""COMPUTED_VALUE"""),"OCA")</f>
        <v>OCA</v>
      </c>
    </row>
    <row r="1791">
      <c r="A1791" s="1" t="str">
        <f>IFERROR(__xludf.DUMMYFUNCTION("""COMPUTED_VALUE"""),"OCFT")</f>
        <v>OCFT</v>
      </c>
    </row>
    <row r="1792">
      <c r="A1792" s="1" t="str">
        <f>IFERROR(__xludf.DUMMYFUNCTION("""COMPUTED_VALUE"""),"OCN")</f>
        <v>OCN</v>
      </c>
    </row>
    <row r="1793">
      <c r="A1793" s="1" t="str">
        <f>IFERROR(__xludf.DUMMYFUNCTION("""COMPUTED_VALUE"""),"ODC")</f>
        <v>ODC</v>
      </c>
    </row>
    <row r="1794">
      <c r="A1794" s="1" t="str">
        <f>IFERROR(__xludf.DUMMYFUNCTION("""COMPUTED_VALUE"""),"OEC")</f>
        <v>OEC</v>
      </c>
    </row>
    <row r="1795">
      <c r="A1795" s="1" t="str">
        <f>IFERROR(__xludf.DUMMYFUNCTION("""COMPUTED_VALUE"""),"OFC")</f>
        <v>OFC</v>
      </c>
    </row>
    <row r="1796">
      <c r="A1796" s="1" t="str">
        <f>IFERROR(__xludf.DUMMYFUNCTION("""COMPUTED_VALUE"""),"OFG")</f>
        <v>OFG</v>
      </c>
    </row>
    <row r="1797">
      <c r="A1797" s="1" t="str">
        <f>IFERROR(__xludf.DUMMYFUNCTION("""COMPUTED_VALUE"""),"OG")</f>
        <v>OG</v>
      </c>
    </row>
    <row r="1798">
      <c r="A1798" s="1" t="str">
        <f>IFERROR(__xludf.DUMMYFUNCTION("""COMPUTED_VALUE"""),"OGE")</f>
        <v>OGE</v>
      </c>
    </row>
    <row r="1799">
      <c r="A1799" s="1" t="str">
        <f>IFERROR(__xludf.DUMMYFUNCTION("""COMPUTED_VALUE"""),"OGN")</f>
        <v>OGN</v>
      </c>
    </row>
    <row r="1800">
      <c r="A1800" s="1" t="str">
        <f>IFERROR(__xludf.DUMMYFUNCTION("""COMPUTED_VALUE"""),"OGS")</f>
        <v>OGS</v>
      </c>
    </row>
    <row r="1801">
      <c r="A1801" s="1" t="str">
        <f>IFERROR(__xludf.DUMMYFUNCTION("""COMPUTED_VALUE"""),"OHI")</f>
        <v>OHI</v>
      </c>
    </row>
    <row r="1802">
      <c r="A1802" s="1" t="str">
        <f>IFERROR(__xludf.DUMMYFUNCTION("""COMPUTED_VALUE"""),"OI")</f>
        <v>OI</v>
      </c>
    </row>
    <row r="1803">
      <c r="A1803" s="1" t="str">
        <f>IFERROR(__xludf.DUMMYFUNCTION("""COMPUTED_VALUE"""),"OIA")</f>
        <v>OIA</v>
      </c>
    </row>
    <row r="1804">
      <c r="A1804" s="1" t="str">
        <f>IFERROR(__xludf.DUMMYFUNCTION("""COMPUTED_VALUE"""),"OII")</f>
        <v>OII</v>
      </c>
    </row>
    <row r="1805">
      <c r="A1805" s="1" t="str">
        <f>IFERROR(__xludf.DUMMYFUNCTION("""COMPUTED_VALUE"""),"OIS")</f>
        <v>OIS</v>
      </c>
    </row>
    <row r="1806">
      <c r="A1806" s="1" t="str">
        <f>IFERROR(__xludf.DUMMYFUNCTION("""COMPUTED_VALUE"""),"OKE")</f>
        <v>OKE</v>
      </c>
    </row>
    <row r="1807">
      <c r="A1807" s="1" t="str">
        <f>IFERROR(__xludf.DUMMYFUNCTION("""COMPUTED_VALUE"""),"OLN")</f>
        <v>OLN</v>
      </c>
    </row>
    <row r="1808">
      <c r="A1808" s="1" t="str">
        <f>IFERROR(__xludf.DUMMYFUNCTION("""COMPUTED_VALUE"""),"OLO")</f>
        <v>OLO</v>
      </c>
    </row>
    <row r="1809">
      <c r="A1809" s="1" t="str">
        <f>IFERROR(__xludf.DUMMYFUNCTION("""COMPUTED_VALUE"""),"OLP")</f>
        <v>OLP</v>
      </c>
    </row>
    <row r="1810">
      <c r="A1810" s="1" t="str">
        <f>IFERROR(__xludf.DUMMYFUNCTION("""COMPUTED_VALUE"""),"OMC")</f>
        <v>OMC</v>
      </c>
    </row>
    <row r="1811">
      <c r="A1811" s="1" t="str">
        <f>IFERROR(__xludf.DUMMYFUNCTION("""COMPUTED_VALUE"""),"OMF")</f>
        <v>OMF</v>
      </c>
    </row>
    <row r="1812">
      <c r="A1812" s="1" t="str">
        <f>IFERROR(__xludf.DUMMYFUNCTION("""COMPUTED_VALUE"""),"OMI")</f>
        <v>OMI</v>
      </c>
    </row>
    <row r="1813">
      <c r="A1813" s="1" t="str">
        <f>IFERROR(__xludf.DUMMYFUNCTION("""COMPUTED_VALUE"""),"ONE")</f>
        <v>ONE</v>
      </c>
    </row>
    <row r="1814">
      <c r="A1814" s="1" t="str">
        <f>IFERROR(__xludf.DUMMYFUNCTION("""COMPUTED_VALUE"""),"ONTF")</f>
        <v>ONTF</v>
      </c>
    </row>
    <row r="1815">
      <c r="A1815" s="1" t="str">
        <f>IFERROR(__xludf.DUMMYFUNCTION("""COMPUTED_VALUE"""),"ONTO")</f>
        <v>ONTO</v>
      </c>
    </row>
    <row r="1816">
      <c r="A1816" s="1" t="str">
        <f>IFERROR(__xludf.DUMMYFUNCTION("""COMPUTED_VALUE"""),"OOMA")</f>
        <v>OOMA</v>
      </c>
    </row>
    <row r="1817">
      <c r="A1817" s="1" t="str">
        <f>IFERROR(__xludf.DUMMYFUNCTION("""COMPUTED_VALUE"""),"OPA")</f>
        <v>OPA</v>
      </c>
    </row>
    <row r="1818">
      <c r="A1818" s="1" t="str">
        <f>IFERROR(__xludf.DUMMYFUNCTION("""COMPUTED_VALUE"""),"OPFI")</f>
        <v>OPFI</v>
      </c>
    </row>
    <row r="1819">
      <c r="A1819" s="1" t="str">
        <f>IFERROR(__xludf.DUMMYFUNCTION("""COMPUTED_VALUE"""),"OPP")</f>
        <v>OPP</v>
      </c>
    </row>
    <row r="1820">
      <c r="A1820" s="1" t="str">
        <f>IFERROR(__xludf.DUMMYFUNCTION("""COMPUTED_VALUE"""),"OPY")</f>
        <v>OPY</v>
      </c>
    </row>
    <row r="1821">
      <c r="A1821" s="1" t="str">
        <f>IFERROR(__xludf.DUMMYFUNCTION("""COMPUTED_VALUE"""),"OR")</f>
        <v>OR</v>
      </c>
    </row>
    <row r="1822">
      <c r="A1822" s="1" t="str">
        <f>IFERROR(__xludf.DUMMYFUNCTION("""COMPUTED_VALUE"""),"ORA")</f>
        <v>ORA</v>
      </c>
    </row>
    <row r="1823">
      <c r="A1823" s="1" t="str">
        <f>IFERROR(__xludf.DUMMYFUNCTION("""COMPUTED_VALUE"""),"ORAN")</f>
        <v>ORAN</v>
      </c>
    </row>
    <row r="1824">
      <c r="A1824" s="1" t="str">
        <f>IFERROR(__xludf.DUMMYFUNCTION("""COMPUTED_VALUE"""),"ORC")</f>
        <v>ORC</v>
      </c>
    </row>
    <row r="1825">
      <c r="A1825" s="1" t="str">
        <f>IFERROR(__xludf.DUMMYFUNCTION("""COMPUTED_VALUE"""),"ORCC")</f>
        <v>ORCC</v>
      </c>
    </row>
    <row r="1826">
      <c r="A1826" s="1" t="str">
        <f>IFERROR(__xludf.DUMMYFUNCTION("""COMPUTED_VALUE"""),"ORCL")</f>
        <v>ORCL</v>
      </c>
    </row>
    <row r="1827">
      <c r="A1827" s="1" t="str">
        <f>IFERROR(__xludf.DUMMYFUNCTION("""COMPUTED_VALUE"""),"ORI")</f>
        <v>ORI</v>
      </c>
    </row>
    <row r="1828">
      <c r="A1828" s="1" t="str">
        <f>IFERROR(__xludf.DUMMYFUNCTION("""COMPUTED_VALUE"""),"ORN")</f>
        <v>ORN</v>
      </c>
    </row>
    <row r="1829">
      <c r="A1829" s="1" t="str">
        <f>IFERROR(__xludf.DUMMYFUNCTION("""COMPUTED_VALUE"""),"OSCR")</f>
        <v>OSCR</v>
      </c>
    </row>
    <row r="1830">
      <c r="A1830" s="1" t="str">
        <f>IFERROR(__xludf.DUMMYFUNCTION("""COMPUTED_VALUE"""),"OSG")</f>
        <v>OSG</v>
      </c>
    </row>
    <row r="1831">
      <c r="A1831" s="1" t="str">
        <f>IFERROR(__xludf.DUMMYFUNCTION("""COMPUTED_VALUE"""),"OSH")</f>
        <v>OSH</v>
      </c>
    </row>
    <row r="1832">
      <c r="A1832" s="1" t="str">
        <f>IFERROR(__xludf.DUMMYFUNCTION("""COMPUTED_VALUE"""),"OSI")</f>
        <v>OSI</v>
      </c>
    </row>
    <row r="1833">
      <c r="A1833" s="1" t="str">
        <f>IFERROR(__xludf.DUMMYFUNCTION("""COMPUTED_VALUE"""),"OSK")</f>
        <v>OSK</v>
      </c>
    </row>
    <row r="1834">
      <c r="A1834" s="1" t="str">
        <f>IFERROR(__xludf.DUMMYFUNCTION("""COMPUTED_VALUE"""),"OTIS")</f>
        <v>OTIS</v>
      </c>
    </row>
    <row r="1835">
      <c r="A1835" s="1" t="str">
        <f>IFERROR(__xludf.DUMMYFUNCTION("""COMPUTED_VALUE"""),"OUST")</f>
        <v>OUST</v>
      </c>
    </row>
    <row r="1836">
      <c r="A1836" s="1" t="str">
        <f>IFERROR(__xludf.DUMMYFUNCTION("""COMPUTED_VALUE"""),"OUT")</f>
        <v>OUT</v>
      </c>
    </row>
    <row r="1837">
      <c r="A1837" s="1" t="str">
        <f>IFERROR(__xludf.DUMMYFUNCTION("""COMPUTED_VALUE"""),"OVV")</f>
        <v>OVV</v>
      </c>
    </row>
    <row r="1838">
      <c r="A1838" s="1" t="str">
        <f>IFERROR(__xludf.DUMMYFUNCTION("""COMPUTED_VALUE"""),"OWL")</f>
        <v>OWL</v>
      </c>
    </row>
    <row r="1839">
      <c r="A1839" s="1" t="str">
        <f>IFERROR(__xludf.DUMMYFUNCTION("""COMPUTED_VALUE"""),"OWLT")</f>
        <v>OWLT</v>
      </c>
    </row>
    <row r="1840">
      <c r="A1840" s="1" t="str">
        <f>IFERROR(__xludf.DUMMYFUNCTION("""COMPUTED_VALUE"""),"OXM")</f>
        <v>OXM</v>
      </c>
    </row>
    <row r="1841">
      <c r="A1841" s="1" t="str">
        <f>IFERROR(__xludf.DUMMYFUNCTION("""COMPUTED_VALUE"""),"OXY")</f>
        <v>OXY</v>
      </c>
    </row>
    <row r="1842">
      <c r="A1842" s="1" t="str">
        <f>IFERROR(__xludf.DUMMYFUNCTION("""COMPUTED_VALUE"""),"PAC")</f>
        <v>PAC</v>
      </c>
    </row>
    <row r="1843">
      <c r="A1843" s="1" t="str">
        <f>IFERROR(__xludf.DUMMYFUNCTION("""COMPUTED_VALUE"""),"PACE")</f>
        <v>PACE</v>
      </c>
    </row>
    <row r="1844">
      <c r="A1844" s="1" t="str">
        <f>IFERROR(__xludf.DUMMYFUNCTION("""COMPUTED_VALUE"""),"PACK")</f>
        <v>PACK</v>
      </c>
    </row>
    <row r="1845">
      <c r="A1845" s="1" t="str">
        <f>IFERROR(__xludf.DUMMYFUNCTION("""COMPUTED_VALUE"""),"PAG")</f>
        <v>PAG</v>
      </c>
    </row>
    <row r="1846">
      <c r="A1846" s="1" t="str">
        <f>IFERROR(__xludf.DUMMYFUNCTION("""COMPUTED_VALUE"""),"PAGS")</f>
        <v>PAGS</v>
      </c>
    </row>
    <row r="1847">
      <c r="A1847" s="1" t="str">
        <f>IFERROR(__xludf.DUMMYFUNCTION("""COMPUTED_VALUE"""),"PAI")</f>
        <v>PAI</v>
      </c>
    </row>
    <row r="1848">
      <c r="A1848" s="1" t="str">
        <f>IFERROR(__xludf.DUMMYFUNCTION("""COMPUTED_VALUE"""),"PAM")</f>
        <v>PAM</v>
      </c>
    </row>
    <row r="1849">
      <c r="A1849" s="1" t="str">
        <f>IFERROR(__xludf.DUMMYFUNCTION("""COMPUTED_VALUE"""),"PANW")</f>
        <v>PANW</v>
      </c>
    </row>
    <row r="1850">
      <c r="A1850" s="1" t="str">
        <f>IFERROR(__xludf.DUMMYFUNCTION("""COMPUTED_VALUE"""),"PAR")</f>
        <v>PAR</v>
      </c>
    </row>
    <row r="1851">
      <c r="A1851" s="1" t="str">
        <f>IFERROR(__xludf.DUMMYFUNCTION("""COMPUTED_VALUE"""),"PARR")</f>
        <v>PARR</v>
      </c>
    </row>
    <row r="1852">
      <c r="A1852" s="1" t="str">
        <f>IFERROR(__xludf.DUMMYFUNCTION("""COMPUTED_VALUE"""),"PATH")</f>
        <v>PATH</v>
      </c>
    </row>
    <row r="1853">
      <c r="A1853" s="1" t="str">
        <f>IFERROR(__xludf.DUMMYFUNCTION("""COMPUTED_VALUE"""),"PAY")</f>
        <v>PAY</v>
      </c>
    </row>
    <row r="1854">
      <c r="A1854" s="1" t="str">
        <f>IFERROR(__xludf.DUMMYFUNCTION("""COMPUTED_VALUE"""),"PAYC")</f>
        <v>PAYC</v>
      </c>
    </row>
    <row r="1855">
      <c r="A1855" s="1" t="str">
        <f>IFERROR(__xludf.DUMMYFUNCTION("""COMPUTED_VALUE"""),"PB")</f>
        <v>PB</v>
      </c>
    </row>
    <row r="1856">
      <c r="A1856" s="1" t="str">
        <f>IFERROR(__xludf.DUMMYFUNCTION("""COMPUTED_VALUE"""),"PBA")</f>
        <v>PBA</v>
      </c>
    </row>
    <row r="1857">
      <c r="A1857" s="1" t="str">
        <f>IFERROR(__xludf.DUMMYFUNCTION("""COMPUTED_VALUE"""),"PBC")</f>
        <v>PBC</v>
      </c>
    </row>
    <row r="1858">
      <c r="A1858" s="1" t="str">
        <f>IFERROR(__xludf.DUMMYFUNCTION("""COMPUTED_VALUE"""),"PBF")</f>
        <v>PBF</v>
      </c>
    </row>
    <row r="1859">
      <c r="A1859" s="1" t="str">
        <f>IFERROR(__xludf.DUMMYFUNCTION("""COMPUTED_VALUE"""),"PBFX")</f>
        <v>PBFX</v>
      </c>
    </row>
    <row r="1860">
      <c r="A1860" s="1" t="str">
        <f>IFERROR(__xludf.DUMMYFUNCTION("""COMPUTED_VALUE"""),"PBH")</f>
        <v>PBH</v>
      </c>
    </row>
    <row r="1861">
      <c r="A1861" s="1" t="str">
        <f>IFERROR(__xludf.DUMMYFUNCTION("""COMPUTED_VALUE"""),"PBI")</f>
        <v>PBI</v>
      </c>
    </row>
    <row r="1862">
      <c r="A1862" s="1" t="str">
        <f>IFERROR(__xludf.DUMMYFUNCTION("""COMPUTED_VALUE"""),"PBR")</f>
        <v>PBR</v>
      </c>
    </row>
    <row r="1863">
      <c r="A1863" s="1" t="str">
        <f>IFERROR(__xludf.DUMMYFUNCTION("""COMPUTED_VALUE"""),"PBT")</f>
        <v>PBT</v>
      </c>
    </row>
    <row r="1864">
      <c r="A1864" s="1" t="str">
        <f>IFERROR(__xludf.DUMMYFUNCTION("""COMPUTED_VALUE"""),"PCF")</f>
        <v>PCF</v>
      </c>
    </row>
    <row r="1865">
      <c r="A1865" s="1" t="str">
        <f>IFERROR(__xludf.DUMMYFUNCTION("""COMPUTED_VALUE"""),"PCG")</f>
        <v>PCG</v>
      </c>
    </row>
    <row r="1866">
      <c r="A1866" s="1" t="str">
        <f>IFERROR(__xludf.DUMMYFUNCTION("""COMPUTED_VALUE"""),"PCGU")</f>
        <v>PCGU</v>
      </c>
    </row>
    <row r="1867">
      <c r="A1867" s="1" t="str">
        <f>IFERROR(__xludf.DUMMYFUNCTION("""COMPUTED_VALUE"""),"PCI")</f>
        <v>PCI</v>
      </c>
    </row>
    <row r="1868">
      <c r="A1868" s="1" t="str">
        <f>IFERROR(__xludf.DUMMYFUNCTION("""COMPUTED_VALUE"""),"PCK")</f>
        <v>PCK</v>
      </c>
    </row>
    <row r="1869">
      <c r="A1869" s="1" t="str">
        <f>IFERROR(__xludf.DUMMYFUNCTION("""COMPUTED_VALUE"""),"PCM")</f>
        <v>PCM</v>
      </c>
    </row>
    <row r="1870">
      <c r="A1870" s="1" t="str">
        <f>IFERROR(__xludf.DUMMYFUNCTION("""COMPUTED_VALUE"""),"PCN")</f>
        <v>PCN</v>
      </c>
    </row>
    <row r="1871">
      <c r="A1871" s="1" t="str">
        <f>IFERROR(__xludf.DUMMYFUNCTION("""COMPUTED_VALUE"""),"PCOR")</f>
        <v>PCOR</v>
      </c>
    </row>
    <row r="1872">
      <c r="A1872" s="1" t="str">
        <f>IFERROR(__xludf.DUMMYFUNCTION("""COMPUTED_VALUE"""),"PCPC")</f>
        <v>PCPC</v>
      </c>
    </row>
    <row r="1873">
      <c r="A1873" s="1" t="str">
        <f>IFERROR(__xludf.DUMMYFUNCTION("""COMPUTED_VALUE"""),"PCQ")</f>
        <v>PCQ</v>
      </c>
    </row>
    <row r="1874">
      <c r="A1874" s="1" t="str">
        <f>IFERROR(__xludf.DUMMYFUNCTION("""COMPUTED_VALUE"""),"PD")</f>
        <v>PD</v>
      </c>
    </row>
    <row r="1875">
      <c r="A1875" s="1" t="str">
        <f>IFERROR(__xludf.DUMMYFUNCTION("""COMPUTED_VALUE"""),"PDAC")</f>
        <v>PDAC</v>
      </c>
    </row>
    <row r="1876">
      <c r="A1876" s="1" t="str">
        <f>IFERROR(__xludf.DUMMYFUNCTION("""COMPUTED_VALUE"""),"PDI")</f>
        <v>PDI</v>
      </c>
    </row>
    <row r="1877">
      <c r="A1877" s="1" t="str">
        <f>IFERROR(__xludf.DUMMYFUNCTION("""COMPUTED_VALUE"""),"PDM")</f>
        <v>PDM</v>
      </c>
    </row>
    <row r="1878">
      <c r="A1878" s="1" t="str">
        <f>IFERROR(__xludf.DUMMYFUNCTION("""COMPUTED_VALUE"""),"PDO")</f>
        <v>PDO</v>
      </c>
    </row>
    <row r="1879">
      <c r="A1879" s="1" t="str">
        <f>IFERROR(__xludf.DUMMYFUNCTION("""COMPUTED_VALUE"""),"PDOT")</f>
        <v>PDOT</v>
      </c>
    </row>
    <row r="1880">
      <c r="A1880" s="1" t="str">
        <f>IFERROR(__xludf.DUMMYFUNCTION("""COMPUTED_VALUE"""),"PDS")</f>
        <v>PDS</v>
      </c>
    </row>
    <row r="1881">
      <c r="A1881" s="1" t="str">
        <f>IFERROR(__xludf.DUMMYFUNCTION("""COMPUTED_VALUE"""),"PDT")</f>
        <v>PDT</v>
      </c>
    </row>
    <row r="1882">
      <c r="A1882" s="1" t="str">
        <f>IFERROR(__xludf.DUMMYFUNCTION("""COMPUTED_VALUE"""),"PEAK")</f>
        <v>PEAK</v>
      </c>
    </row>
    <row r="1883">
      <c r="A1883" s="1" t="str">
        <f>IFERROR(__xludf.DUMMYFUNCTION("""COMPUTED_VALUE"""),"PEB")</f>
        <v>PEB</v>
      </c>
    </row>
    <row r="1884">
      <c r="A1884" s="1" t="str">
        <f>IFERROR(__xludf.DUMMYFUNCTION("""COMPUTED_VALUE"""),"PEG")</f>
        <v>PEG</v>
      </c>
    </row>
    <row r="1885">
      <c r="A1885" s="1" t="str">
        <f>IFERROR(__xludf.DUMMYFUNCTION("""COMPUTED_VALUE"""),"PEI")</f>
        <v>PEI</v>
      </c>
    </row>
    <row r="1886">
      <c r="A1886" s="1" t="str">
        <f>IFERROR(__xludf.DUMMYFUNCTION("""COMPUTED_VALUE"""),"PEN")</f>
        <v>PEN</v>
      </c>
    </row>
    <row r="1887">
      <c r="A1887" s="1" t="str">
        <f>IFERROR(__xludf.DUMMYFUNCTION("""COMPUTED_VALUE"""),"PEO")</f>
        <v>PEO</v>
      </c>
    </row>
    <row r="1888">
      <c r="A1888" s="1" t="str">
        <f>IFERROR(__xludf.DUMMYFUNCTION("""COMPUTED_VALUE"""),"PFD")</f>
        <v>PFD</v>
      </c>
    </row>
    <row r="1889">
      <c r="A1889" s="1" t="str">
        <f>IFERROR(__xludf.DUMMYFUNCTION("""COMPUTED_VALUE"""),"PFE")</f>
        <v>PFE</v>
      </c>
    </row>
    <row r="1890">
      <c r="A1890" s="1" t="str">
        <f>IFERROR(__xludf.DUMMYFUNCTION("""COMPUTED_VALUE"""),"PFGC")</f>
        <v>PFGC</v>
      </c>
    </row>
    <row r="1891">
      <c r="A1891" s="1" t="str">
        <f>IFERROR(__xludf.DUMMYFUNCTION("""COMPUTED_VALUE"""),"PFH")</f>
        <v>PFH</v>
      </c>
    </row>
    <row r="1892">
      <c r="A1892" s="1" t="str">
        <f>IFERROR(__xludf.DUMMYFUNCTION("""COMPUTED_VALUE"""),"PFL")</f>
        <v>PFL</v>
      </c>
    </row>
    <row r="1893">
      <c r="A1893" s="1" t="str">
        <f>IFERROR(__xludf.DUMMYFUNCTION("""COMPUTED_VALUE"""),"PFN")</f>
        <v>PFN</v>
      </c>
    </row>
    <row r="1894">
      <c r="A1894" s="1" t="str">
        <f>IFERROR(__xludf.DUMMYFUNCTION("""COMPUTED_VALUE"""),"PFO")</f>
        <v>PFO</v>
      </c>
    </row>
    <row r="1895">
      <c r="A1895" s="1" t="str">
        <f>IFERROR(__xludf.DUMMYFUNCTION("""COMPUTED_VALUE"""),"PFS")</f>
        <v>PFS</v>
      </c>
    </row>
    <row r="1896">
      <c r="A1896" s="1" t="str">
        <f>IFERROR(__xludf.DUMMYFUNCTION("""COMPUTED_VALUE"""),"PFSI")</f>
        <v>PFSI</v>
      </c>
    </row>
    <row r="1897">
      <c r="A1897" s="1" t="str">
        <f>IFERROR(__xludf.DUMMYFUNCTION("""COMPUTED_VALUE"""),"PG")</f>
        <v>PG</v>
      </c>
    </row>
    <row r="1898">
      <c r="A1898" s="1" t="str">
        <f>IFERROR(__xludf.DUMMYFUNCTION("""COMPUTED_VALUE"""),"PGP")</f>
        <v>PGP</v>
      </c>
    </row>
    <row r="1899">
      <c r="A1899" s="1" t="str">
        <f>IFERROR(__xludf.DUMMYFUNCTION("""COMPUTED_VALUE"""),"PGR")</f>
        <v>PGR</v>
      </c>
    </row>
    <row r="1900">
      <c r="A1900" s="1" t="str">
        <f>IFERROR(__xludf.DUMMYFUNCTION("""COMPUTED_VALUE"""),"PGRE")</f>
        <v>PGRE</v>
      </c>
    </row>
    <row r="1901">
      <c r="A1901" s="1" t="str">
        <f>IFERROR(__xludf.DUMMYFUNCTION("""COMPUTED_VALUE"""),"PGTI")</f>
        <v>PGTI</v>
      </c>
    </row>
    <row r="1902">
      <c r="A1902" s="1" t="str">
        <f>IFERROR(__xludf.DUMMYFUNCTION("""COMPUTED_VALUE"""),"PGZ")</f>
        <v>PGZ</v>
      </c>
    </row>
    <row r="1903">
      <c r="A1903" s="1" t="str">
        <f>IFERROR(__xludf.DUMMYFUNCTION("""COMPUTED_VALUE"""),"PH")</f>
        <v>PH</v>
      </c>
    </row>
    <row r="1904">
      <c r="A1904" s="1" t="str">
        <f>IFERROR(__xludf.DUMMYFUNCTION("""COMPUTED_VALUE"""),"PHD")</f>
        <v>PHD</v>
      </c>
    </row>
    <row r="1905">
      <c r="A1905" s="1" t="str">
        <f>IFERROR(__xludf.DUMMYFUNCTION("""COMPUTED_VALUE"""),"PHG")</f>
        <v>PHG</v>
      </c>
    </row>
    <row r="1906">
      <c r="A1906" s="1" t="str">
        <f>IFERROR(__xludf.DUMMYFUNCTION("""COMPUTED_VALUE"""),"PHI")</f>
        <v>PHI</v>
      </c>
    </row>
    <row r="1907">
      <c r="A1907" s="1" t="str">
        <f>IFERROR(__xludf.DUMMYFUNCTION("""COMPUTED_VALUE"""),"PHK")</f>
        <v>PHK</v>
      </c>
    </row>
    <row r="1908">
      <c r="A1908" s="1" t="str">
        <f>IFERROR(__xludf.DUMMYFUNCTION("""COMPUTED_VALUE"""),"PHM")</f>
        <v>PHM</v>
      </c>
    </row>
    <row r="1909">
      <c r="A1909" s="1" t="str">
        <f>IFERROR(__xludf.DUMMYFUNCTION("""COMPUTED_VALUE"""),"PHR")</f>
        <v>PHR</v>
      </c>
    </row>
    <row r="1910">
      <c r="A1910" s="1" t="str">
        <f>IFERROR(__xludf.DUMMYFUNCTION("""COMPUTED_VALUE"""),"PHT")</f>
        <v>PHT</v>
      </c>
    </row>
    <row r="1911">
      <c r="A1911" s="1" t="str">
        <f>IFERROR(__xludf.DUMMYFUNCTION("""COMPUTED_VALUE"""),"PHX")</f>
        <v>PHX</v>
      </c>
    </row>
    <row r="1912">
      <c r="A1912" s="1" t="str">
        <f>IFERROR(__xludf.DUMMYFUNCTION("""COMPUTED_VALUE"""),"PIAI")</f>
        <v>PIAI</v>
      </c>
    </row>
    <row r="1913">
      <c r="A1913" s="1" t="str">
        <f>IFERROR(__xludf.DUMMYFUNCTION("""COMPUTED_VALUE"""),"PII")</f>
        <v>PII</v>
      </c>
    </row>
    <row r="1914">
      <c r="A1914" s="1" t="str">
        <f>IFERROR(__xludf.DUMMYFUNCTION("""COMPUTED_VALUE"""),"PIM")</f>
        <v>PIM</v>
      </c>
    </row>
    <row r="1915">
      <c r="A1915" s="1" t="str">
        <f>IFERROR(__xludf.DUMMYFUNCTION("""COMPUTED_VALUE"""),"PINE")</f>
        <v>PINE</v>
      </c>
    </row>
    <row r="1916">
      <c r="A1916" s="1" t="str">
        <f>IFERROR(__xludf.DUMMYFUNCTION("""COMPUTED_VALUE"""),"PING")</f>
        <v>PING</v>
      </c>
    </row>
    <row r="1917">
      <c r="A1917" s="1" t="str">
        <f>IFERROR(__xludf.DUMMYFUNCTION("""COMPUTED_VALUE"""),"PINS")</f>
        <v>PINS</v>
      </c>
    </row>
    <row r="1918">
      <c r="A1918" s="1" t="str">
        <f>IFERROR(__xludf.DUMMYFUNCTION("""COMPUTED_VALUE"""),"PIPP")</f>
        <v>PIPP</v>
      </c>
    </row>
    <row r="1919">
      <c r="A1919" s="1" t="str">
        <f>IFERROR(__xludf.DUMMYFUNCTION("""COMPUTED_VALUE"""),"PIPR")</f>
        <v>PIPR</v>
      </c>
    </row>
    <row r="1920">
      <c r="A1920" s="1" t="str">
        <f>IFERROR(__xludf.DUMMYFUNCTION("""COMPUTED_VALUE"""),"PJT")</f>
        <v>PJT</v>
      </c>
    </row>
    <row r="1921">
      <c r="A1921" s="1" t="str">
        <f>IFERROR(__xludf.DUMMYFUNCTION("""COMPUTED_VALUE"""),"PK")</f>
        <v>PK</v>
      </c>
    </row>
    <row r="1922">
      <c r="A1922" s="1" t="str">
        <f>IFERROR(__xludf.DUMMYFUNCTION("""COMPUTED_VALUE"""),"PKE")</f>
        <v>PKE</v>
      </c>
    </row>
    <row r="1923">
      <c r="A1923" s="1" t="str">
        <f>IFERROR(__xludf.DUMMYFUNCTION("""COMPUTED_VALUE"""),"PKG")</f>
        <v>PKG</v>
      </c>
    </row>
    <row r="1924">
      <c r="A1924" s="1" t="str">
        <f>IFERROR(__xludf.DUMMYFUNCTION("""COMPUTED_VALUE"""),"PKI")</f>
        <v>PKI</v>
      </c>
    </row>
    <row r="1925">
      <c r="A1925" s="1" t="str">
        <f>IFERROR(__xludf.DUMMYFUNCTION("""COMPUTED_VALUE"""),"PKO")</f>
        <v>PKO</v>
      </c>
    </row>
    <row r="1926">
      <c r="A1926" s="1" t="str">
        <f>IFERROR(__xludf.DUMMYFUNCTION("""COMPUTED_VALUE"""),"PKX")</f>
        <v>PKX</v>
      </c>
    </row>
    <row r="1927">
      <c r="A1927" s="1" t="str">
        <f>IFERROR(__xludf.DUMMYFUNCTION("""COMPUTED_VALUE"""),"PLAN")</f>
        <v>PLAN</v>
      </c>
    </row>
    <row r="1928">
      <c r="A1928" s="1" t="str">
        <f>IFERROR(__xludf.DUMMYFUNCTION("""COMPUTED_VALUE"""),"PLD")</f>
        <v>PLD</v>
      </c>
    </row>
    <row r="1929">
      <c r="A1929" s="1" t="str">
        <f>IFERROR(__xludf.DUMMYFUNCTION("""COMPUTED_VALUE"""),"PLNT")</f>
        <v>PLNT</v>
      </c>
    </row>
    <row r="1930">
      <c r="A1930" s="1" t="str">
        <f>IFERROR(__xludf.DUMMYFUNCTION("""COMPUTED_VALUE"""),"PLOW")</f>
        <v>PLOW</v>
      </c>
    </row>
    <row r="1931">
      <c r="A1931" s="1" t="str">
        <f>IFERROR(__xludf.DUMMYFUNCTION("""COMPUTED_VALUE"""),"PLTR")</f>
        <v>PLTR</v>
      </c>
    </row>
    <row r="1932">
      <c r="A1932" s="1" t="str">
        <f>IFERROR(__xludf.DUMMYFUNCTION("""COMPUTED_VALUE"""),"PLYM")</f>
        <v>PLYM</v>
      </c>
    </row>
    <row r="1933">
      <c r="A1933" s="1" t="str">
        <f>IFERROR(__xludf.DUMMYFUNCTION("""COMPUTED_VALUE"""),"PM")</f>
        <v>PM</v>
      </c>
    </row>
    <row r="1934">
      <c r="A1934" s="1" t="str">
        <f>IFERROR(__xludf.DUMMYFUNCTION("""COMPUTED_VALUE"""),"PMF")</f>
        <v>PMF</v>
      </c>
    </row>
    <row r="1935">
      <c r="A1935" s="1" t="str">
        <f>IFERROR(__xludf.DUMMYFUNCTION("""COMPUTED_VALUE"""),"PML")</f>
        <v>PML</v>
      </c>
    </row>
    <row r="1936">
      <c r="A1936" s="1" t="str">
        <f>IFERROR(__xludf.DUMMYFUNCTION("""COMPUTED_VALUE"""),"PMM")</f>
        <v>PMM</v>
      </c>
    </row>
    <row r="1937">
      <c r="A1937" s="1" t="str">
        <f>IFERROR(__xludf.DUMMYFUNCTION("""COMPUTED_VALUE"""),"PMO")</f>
        <v>PMO</v>
      </c>
    </row>
    <row r="1938">
      <c r="A1938" s="1" t="str">
        <f>IFERROR(__xludf.DUMMYFUNCTION("""COMPUTED_VALUE"""),"PMT")</f>
        <v>PMT</v>
      </c>
    </row>
    <row r="1939">
      <c r="A1939" s="1" t="str">
        <f>IFERROR(__xludf.DUMMYFUNCTION("""COMPUTED_VALUE"""),"PMVC")</f>
        <v>PMVC</v>
      </c>
    </row>
    <row r="1940">
      <c r="A1940" s="1" t="str">
        <f>IFERROR(__xludf.DUMMYFUNCTION("""COMPUTED_VALUE"""),"PMX")</f>
        <v>PMX</v>
      </c>
    </row>
    <row r="1941">
      <c r="A1941" s="1" t="str">
        <f>IFERROR(__xludf.DUMMYFUNCTION("""COMPUTED_VALUE"""),"PNC")</f>
        <v>PNC</v>
      </c>
    </row>
    <row r="1942">
      <c r="A1942" s="1" t="str">
        <f>IFERROR(__xludf.DUMMYFUNCTION("""COMPUTED_VALUE"""),"PNF")</f>
        <v>PNF</v>
      </c>
    </row>
    <row r="1943">
      <c r="A1943" s="1" t="str">
        <f>IFERROR(__xludf.DUMMYFUNCTION("""COMPUTED_VALUE"""),"PNI")</f>
        <v>PNI</v>
      </c>
    </row>
    <row r="1944">
      <c r="A1944" s="1" t="str">
        <f>IFERROR(__xludf.DUMMYFUNCTION("""COMPUTED_VALUE"""),"PNM")</f>
        <v>PNM</v>
      </c>
    </row>
    <row r="1945">
      <c r="A1945" s="1" t="str">
        <f>IFERROR(__xludf.DUMMYFUNCTION("""COMPUTED_VALUE"""),"PNR")</f>
        <v>PNR</v>
      </c>
    </row>
    <row r="1946">
      <c r="A1946" s="1" t="str">
        <f>IFERROR(__xludf.DUMMYFUNCTION("""COMPUTED_VALUE"""),"PNTM")</f>
        <v>PNTM</v>
      </c>
    </row>
    <row r="1947">
      <c r="A1947" s="1" t="str">
        <f>IFERROR(__xludf.DUMMYFUNCTION("""COMPUTED_VALUE"""),"PNW")</f>
        <v>PNW</v>
      </c>
    </row>
    <row r="1948">
      <c r="A1948" s="1" t="str">
        <f>IFERROR(__xludf.DUMMYFUNCTION("""COMPUTED_VALUE"""),"POLY")</f>
        <v>POLY</v>
      </c>
    </row>
    <row r="1949">
      <c r="A1949" s="1" t="str">
        <f>IFERROR(__xludf.DUMMYFUNCTION("""COMPUTED_VALUE"""),"POND")</f>
        <v>POND</v>
      </c>
    </row>
    <row r="1950">
      <c r="A1950" s="1" t="str">
        <f>IFERROR(__xludf.DUMMYFUNCTION("""COMPUTED_VALUE"""),"POR")</f>
        <v>POR</v>
      </c>
    </row>
    <row r="1951">
      <c r="A1951" s="1" t="str">
        <f>IFERROR(__xludf.DUMMYFUNCTION("""COMPUTED_VALUE"""),"POST")</f>
        <v>POST</v>
      </c>
    </row>
    <row r="1952">
      <c r="A1952" s="1" t="str">
        <f>IFERROR(__xludf.DUMMYFUNCTION("""COMPUTED_VALUE"""),"PPG")</f>
        <v>PPG</v>
      </c>
    </row>
    <row r="1953">
      <c r="A1953" s="1" t="str">
        <f>IFERROR(__xludf.DUMMYFUNCTION("""COMPUTED_VALUE"""),"PPL")</f>
        <v>PPL</v>
      </c>
    </row>
    <row r="1954">
      <c r="A1954" s="1" t="str">
        <f>IFERROR(__xludf.DUMMYFUNCTION("""COMPUTED_VALUE"""),"PPT")</f>
        <v>PPT</v>
      </c>
    </row>
    <row r="1955">
      <c r="A1955" s="1" t="str">
        <f>IFERROR(__xludf.DUMMYFUNCTION("""COMPUTED_VALUE"""),"PRA")</f>
        <v>PRA</v>
      </c>
    </row>
    <row r="1956">
      <c r="A1956" s="1" t="str">
        <f>IFERROR(__xludf.DUMMYFUNCTION("""COMPUTED_VALUE"""),"PRG")</f>
        <v>PRG</v>
      </c>
    </row>
    <row r="1957">
      <c r="A1957" s="1" t="str">
        <f>IFERROR(__xludf.DUMMYFUNCTION("""COMPUTED_VALUE"""),"PRGO")</f>
        <v>PRGO</v>
      </c>
    </row>
    <row r="1958">
      <c r="A1958" s="1" t="str">
        <f>IFERROR(__xludf.DUMMYFUNCTION("""COMPUTED_VALUE"""),"PRI")</f>
        <v>PRI</v>
      </c>
    </row>
    <row r="1959">
      <c r="A1959" s="1" t="str">
        <f>IFERROR(__xludf.DUMMYFUNCTION("""COMPUTED_VALUE"""),"PRLB")</f>
        <v>PRLB</v>
      </c>
    </row>
    <row r="1960">
      <c r="A1960" s="1" t="str">
        <f>IFERROR(__xludf.DUMMYFUNCTION("""COMPUTED_VALUE"""),"PRMW")</f>
        <v>PRMW</v>
      </c>
    </row>
    <row r="1961">
      <c r="A1961" s="1" t="str">
        <f>IFERROR(__xludf.DUMMYFUNCTION("""COMPUTED_VALUE"""),"PRO")</f>
        <v>PRO</v>
      </c>
    </row>
    <row r="1962">
      <c r="A1962" s="1" t="str">
        <f>IFERROR(__xludf.DUMMYFUNCTION("""COMPUTED_VALUE"""),"PRPB")</f>
        <v>PRPB</v>
      </c>
    </row>
    <row r="1963">
      <c r="A1963" s="1" t="str">
        <f>IFERROR(__xludf.DUMMYFUNCTION("""COMPUTED_VALUE"""),"PRS")</f>
        <v>PRS</v>
      </c>
    </row>
    <row r="1964">
      <c r="A1964" s="1" t="str">
        <f>IFERROR(__xludf.DUMMYFUNCTION("""COMPUTED_VALUE"""),"PRT")</f>
        <v>PRT</v>
      </c>
    </row>
    <row r="1965">
      <c r="A1965" s="1" t="str">
        <f>IFERROR(__xludf.DUMMYFUNCTION("""COMPUTED_VALUE"""),"PRTY")</f>
        <v>PRTY</v>
      </c>
    </row>
    <row r="1966">
      <c r="A1966" s="1" t="str">
        <f>IFERROR(__xludf.DUMMYFUNCTION("""COMPUTED_VALUE"""),"PRU")</f>
        <v>PRU</v>
      </c>
    </row>
    <row r="1967">
      <c r="A1967" s="1" t="str">
        <f>IFERROR(__xludf.DUMMYFUNCTION("""COMPUTED_VALUE"""),"PSA")</f>
        <v>PSA</v>
      </c>
    </row>
    <row r="1968">
      <c r="A1968" s="1" t="str">
        <f>IFERROR(__xludf.DUMMYFUNCTION("""COMPUTED_VALUE"""),"PSB")</f>
        <v>PSB</v>
      </c>
    </row>
    <row r="1969">
      <c r="A1969" s="1" t="str">
        <f>IFERROR(__xludf.DUMMYFUNCTION("""COMPUTED_VALUE"""),"PSF")</f>
        <v>PSF</v>
      </c>
    </row>
    <row r="1970">
      <c r="A1970" s="1" t="str">
        <f>IFERROR(__xludf.DUMMYFUNCTION("""COMPUTED_VALUE"""),"PSFE")</f>
        <v>PSFE</v>
      </c>
    </row>
    <row r="1971">
      <c r="A1971" s="1" t="str">
        <f>IFERROR(__xludf.DUMMYFUNCTION("""COMPUTED_VALUE"""),"PSN")</f>
        <v>PSN</v>
      </c>
    </row>
    <row r="1972">
      <c r="A1972" s="1" t="str">
        <f>IFERROR(__xludf.DUMMYFUNCTION("""COMPUTED_VALUE"""),"PSO")</f>
        <v>PSO</v>
      </c>
    </row>
    <row r="1973">
      <c r="A1973" s="1" t="str">
        <f>IFERROR(__xludf.DUMMYFUNCTION("""COMPUTED_VALUE"""),"PSPC")</f>
        <v>PSPC</v>
      </c>
    </row>
    <row r="1974">
      <c r="A1974" s="1" t="str">
        <f>IFERROR(__xludf.DUMMYFUNCTION("""COMPUTED_VALUE"""),"PSTG")</f>
        <v>PSTG</v>
      </c>
    </row>
    <row r="1975">
      <c r="A1975" s="1" t="str">
        <f>IFERROR(__xludf.DUMMYFUNCTION("""COMPUTED_VALUE"""),"PSTH")</f>
        <v>PSTH</v>
      </c>
    </row>
    <row r="1976">
      <c r="A1976" s="1" t="str">
        <f>IFERROR(__xludf.DUMMYFUNCTION("""COMPUTED_VALUE"""),"PSTL")</f>
        <v>PSTL</v>
      </c>
    </row>
    <row r="1977">
      <c r="A1977" s="1" t="str">
        <f>IFERROR(__xludf.DUMMYFUNCTION("""COMPUTED_VALUE"""),"PSX")</f>
        <v>PSX</v>
      </c>
    </row>
    <row r="1978">
      <c r="A1978" s="1" t="str">
        <f>IFERROR(__xludf.DUMMYFUNCTION("""COMPUTED_VALUE"""),"PSXP")</f>
        <v>PSXP</v>
      </c>
    </row>
    <row r="1979">
      <c r="A1979" s="1" t="str">
        <f>IFERROR(__xludf.DUMMYFUNCTION("""COMPUTED_VALUE"""),"PTA")</f>
        <v>PTA</v>
      </c>
    </row>
    <row r="1980">
      <c r="A1980" s="1" t="str">
        <f>IFERROR(__xludf.DUMMYFUNCTION("""COMPUTED_VALUE"""),"PTR")</f>
        <v>PTR</v>
      </c>
    </row>
    <row r="1981">
      <c r="A1981" s="1" t="str">
        <f>IFERROR(__xludf.DUMMYFUNCTION("""COMPUTED_VALUE"""),"PTY")</f>
        <v>PTY</v>
      </c>
    </row>
    <row r="1982">
      <c r="A1982" s="1" t="str">
        <f>IFERROR(__xludf.DUMMYFUNCTION("""COMPUTED_VALUE"""),"PUK")</f>
        <v>PUK</v>
      </c>
    </row>
    <row r="1983">
      <c r="A1983" s="1" t="str">
        <f>IFERROR(__xludf.DUMMYFUNCTION("""COMPUTED_VALUE"""),"PUMP")</f>
        <v>PUMP</v>
      </c>
    </row>
    <row r="1984">
      <c r="A1984" s="1" t="str">
        <f>IFERROR(__xludf.DUMMYFUNCTION("""COMPUTED_VALUE"""),"PV")</f>
        <v>PV</v>
      </c>
    </row>
    <row r="1985">
      <c r="A1985" s="1" t="str">
        <f>IFERROR(__xludf.DUMMYFUNCTION("""COMPUTED_VALUE"""),"PVG")</f>
        <v>PVG</v>
      </c>
    </row>
    <row r="1986">
      <c r="A1986" s="1" t="str">
        <f>IFERROR(__xludf.DUMMYFUNCTION("""COMPUTED_VALUE"""),"PVH")</f>
        <v>PVH</v>
      </c>
    </row>
    <row r="1987">
      <c r="A1987" s="1" t="str">
        <f>IFERROR(__xludf.DUMMYFUNCTION("""COMPUTED_VALUE"""),"PVL")</f>
        <v>PVL</v>
      </c>
    </row>
    <row r="1988">
      <c r="A1988" s="1" t="str">
        <f>IFERROR(__xludf.DUMMYFUNCTION("""COMPUTED_VALUE"""),"PWR")</f>
        <v>PWR</v>
      </c>
    </row>
    <row r="1989">
      <c r="A1989" s="1" t="str">
        <f>IFERROR(__xludf.DUMMYFUNCTION("""COMPUTED_VALUE"""),"PWSC")</f>
        <v>PWSC</v>
      </c>
    </row>
    <row r="1990">
      <c r="A1990" s="1" t="str">
        <f>IFERROR(__xludf.DUMMYFUNCTION("""COMPUTED_VALUE"""),"PXD")</f>
        <v>PXD</v>
      </c>
    </row>
    <row r="1991">
      <c r="A1991" s="1" t="str">
        <f>IFERROR(__xludf.DUMMYFUNCTION("""COMPUTED_VALUE"""),"PYN")</f>
        <v>PYN</v>
      </c>
    </row>
    <row r="1992">
      <c r="A1992" s="1" t="str">
        <f>IFERROR(__xludf.DUMMYFUNCTION("""COMPUTED_VALUE"""),"PYS")</f>
        <v>PYS</v>
      </c>
    </row>
    <row r="1993">
      <c r="A1993" s="1" t="str">
        <f>IFERROR(__xludf.DUMMYFUNCTION("""COMPUTED_VALUE"""),"PZC")</f>
        <v>PZC</v>
      </c>
    </row>
    <row r="1994">
      <c r="A1994" s="1" t="str">
        <f>IFERROR(__xludf.DUMMYFUNCTION("""COMPUTED_VALUE"""),"PZN")</f>
        <v>PZN</v>
      </c>
    </row>
    <row r="1995">
      <c r="A1995" s="1" t="str">
        <f>IFERROR(__xludf.DUMMYFUNCTION("""COMPUTED_VALUE"""),"QD")</f>
        <v>QD</v>
      </c>
    </row>
    <row r="1996">
      <c r="A1996" s="1" t="str">
        <f>IFERROR(__xludf.DUMMYFUNCTION("""COMPUTED_VALUE"""),"QFTA")</f>
        <v>QFTA</v>
      </c>
    </row>
    <row r="1997">
      <c r="A1997" s="1" t="str">
        <f>IFERROR(__xludf.DUMMYFUNCTION("""COMPUTED_VALUE"""),"QGEN")</f>
        <v>QGEN</v>
      </c>
    </row>
    <row r="1998">
      <c r="A1998" s="1" t="str">
        <f>IFERROR(__xludf.DUMMYFUNCTION("""COMPUTED_VALUE"""),"QS")</f>
        <v>QS</v>
      </c>
    </row>
    <row r="1999">
      <c r="A1999" s="1" t="str">
        <f>IFERROR(__xludf.DUMMYFUNCTION("""COMPUTED_VALUE"""),"QSR")</f>
        <v>QSR</v>
      </c>
    </row>
    <row r="2000">
      <c r="A2000" s="1" t="str">
        <f>IFERROR(__xludf.DUMMYFUNCTION("""COMPUTED_VALUE"""),"QTS")</f>
        <v>QTS</v>
      </c>
    </row>
    <row r="2001">
      <c r="A2001" s="1" t="str">
        <f>IFERROR(__xludf.DUMMYFUNCTION("""COMPUTED_VALUE"""),"QTWO")</f>
        <v>QTWO</v>
      </c>
    </row>
    <row r="2002">
      <c r="A2002" s="1" t="str">
        <f>IFERROR(__xludf.DUMMYFUNCTION("""COMPUTED_VALUE"""),"QUAD")</f>
        <v>QUAD</v>
      </c>
    </row>
    <row r="2003">
      <c r="A2003" s="1" t="str">
        <f>IFERROR(__xludf.DUMMYFUNCTION("""COMPUTED_VALUE"""),"QUOT")</f>
        <v>QUOT</v>
      </c>
    </row>
    <row r="2004">
      <c r="A2004" s="1" t="str">
        <f>IFERROR(__xludf.DUMMYFUNCTION("""COMPUTED_VALUE"""),"QVCC")</f>
        <v>QVCC</v>
      </c>
    </row>
    <row r="2005">
      <c r="A2005" s="1" t="str">
        <f>IFERROR(__xludf.DUMMYFUNCTION("""COMPUTED_VALUE"""),"QVCD")</f>
        <v>QVCD</v>
      </c>
    </row>
    <row r="2006">
      <c r="A2006" s="1" t="str">
        <f>IFERROR(__xludf.DUMMYFUNCTION("""COMPUTED_VALUE"""),"R")</f>
        <v>R</v>
      </c>
    </row>
    <row r="2007">
      <c r="A2007" s="1" t="str">
        <f>IFERROR(__xludf.DUMMYFUNCTION("""COMPUTED_VALUE"""),"RA")</f>
        <v>RA</v>
      </c>
    </row>
    <row r="2008">
      <c r="A2008" s="1" t="str">
        <f>IFERROR(__xludf.DUMMYFUNCTION("""COMPUTED_VALUE"""),"RAAS")</f>
        <v>RAAS</v>
      </c>
    </row>
    <row r="2009">
      <c r="A2009" s="1" t="str">
        <f>IFERROR(__xludf.DUMMYFUNCTION("""COMPUTED_VALUE"""),"RACE")</f>
        <v>RACE</v>
      </c>
    </row>
    <row r="2010">
      <c r="A2010" s="1" t="str">
        <f>IFERROR(__xludf.DUMMYFUNCTION("""COMPUTED_VALUE"""),"RAD")</f>
        <v>RAD</v>
      </c>
    </row>
    <row r="2011">
      <c r="A2011" s="1" t="str">
        <f>IFERROR(__xludf.DUMMYFUNCTION("""COMPUTED_VALUE"""),"RAMP")</f>
        <v>RAMP</v>
      </c>
    </row>
    <row r="2012">
      <c r="A2012" s="1" t="str">
        <f>IFERROR(__xludf.DUMMYFUNCTION("""COMPUTED_VALUE"""),"RBA")</f>
        <v>RBA</v>
      </c>
    </row>
    <row r="2013">
      <c r="A2013" s="1" t="str">
        <f>IFERROR(__xludf.DUMMYFUNCTION("""COMPUTED_VALUE"""),"RBAC")</f>
        <v>RBAC</v>
      </c>
    </row>
    <row r="2014">
      <c r="A2014" s="1" t="str">
        <f>IFERROR(__xludf.DUMMYFUNCTION("""COMPUTED_VALUE"""),"RBC")</f>
        <v>RBC</v>
      </c>
    </row>
    <row r="2015">
      <c r="A2015" s="1" t="str">
        <f>IFERROR(__xludf.DUMMYFUNCTION("""COMPUTED_VALUE"""),"RBLX")</f>
        <v>RBLX</v>
      </c>
    </row>
    <row r="2016">
      <c r="A2016" s="1" t="str">
        <f>IFERROR(__xludf.DUMMYFUNCTION("""COMPUTED_VALUE"""),"RC")</f>
        <v>RC</v>
      </c>
    </row>
    <row r="2017">
      <c r="A2017" s="1" t="str">
        <f>IFERROR(__xludf.DUMMYFUNCTION("""COMPUTED_VALUE"""),"RCA")</f>
        <v>RCA</v>
      </c>
    </row>
    <row r="2018">
      <c r="A2018" s="1" t="str">
        <f>IFERROR(__xludf.DUMMYFUNCTION("""COMPUTED_VALUE"""),"RCB")</f>
        <v>RCB</v>
      </c>
    </row>
    <row r="2019">
      <c r="A2019" s="1" t="str">
        <f>IFERROR(__xludf.DUMMYFUNCTION("""COMPUTED_VALUE"""),"RCC")</f>
        <v>RCC</v>
      </c>
    </row>
    <row r="2020">
      <c r="A2020" s="1" t="str">
        <f>IFERROR(__xludf.DUMMYFUNCTION("""COMPUTED_VALUE"""),"RCI")</f>
        <v>RCI</v>
      </c>
    </row>
    <row r="2021">
      <c r="A2021" s="1" t="str">
        <f>IFERROR(__xludf.DUMMYFUNCTION("""COMPUTED_VALUE"""),"RCL")</f>
        <v>RCL</v>
      </c>
    </row>
    <row r="2022">
      <c r="A2022" s="1" t="str">
        <f>IFERROR(__xludf.DUMMYFUNCTION("""COMPUTED_VALUE"""),"RCS")</f>
        <v>RCS</v>
      </c>
    </row>
    <row r="2023">
      <c r="A2023" s="1" t="str">
        <f>IFERROR(__xludf.DUMMYFUNCTION("""COMPUTED_VALUE"""),"RCUS")</f>
        <v>RCUS</v>
      </c>
    </row>
    <row r="2024">
      <c r="A2024" s="1" t="str">
        <f>IFERROR(__xludf.DUMMYFUNCTION("""COMPUTED_VALUE"""),"RDN")</f>
        <v>RDN</v>
      </c>
    </row>
    <row r="2025">
      <c r="A2025" s="1" t="str">
        <f>IFERROR(__xludf.DUMMYFUNCTION("""COMPUTED_VALUE"""),"RDY")</f>
        <v>RDY</v>
      </c>
    </row>
    <row r="2026">
      <c r="A2026" s="1" t="str">
        <f>IFERROR(__xludf.DUMMYFUNCTION("""COMPUTED_VALUE"""),"RE")</f>
        <v>RE</v>
      </c>
    </row>
    <row r="2027">
      <c r="A2027" s="1" t="str">
        <f>IFERROR(__xludf.DUMMYFUNCTION("""COMPUTED_VALUE"""),"RELX")</f>
        <v>RELX</v>
      </c>
    </row>
    <row r="2028">
      <c r="A2028" s="1" t="str">
        <f>IFERROR(__xludf.DUMMYFUNCTION("""COMPUTED_VALUE"""),"RENN")</f>
        <v>RENN</v>
      </c>
    </row>
    <row r="2029">
      <c r="A2029" s="1" t="str">
        <f>IFERROR(__xludf.DUMMYFUNCTION("""COMPUTED_VALUE"""),"RERE")</f>
        <v>RERE</v>
      </c>
    </row>
    <row r="2030">
      <c r="A2030" s="1" t="str">
        <f>IFERROR(__xludf.DUMMYFUNCTION("""COMPUTED_VALUE"""),"RES")</f>
        <v>RES</v>
      </c>
    </row>
    <row r="2031">
      <c r="A2031" s="1" t="str">
        <f>IFERROR(__xludf.DUMMYFUNCTION("""COMPUTED_VALUE"""),"REV")</f>
        <v>REV</v>
      </c>
    </row>
    <row r="2032">
      <c r="A2032" s="1" t="str">
        <f>IFERROR(__xludf.DUMMYFUNCTION("""COMPUTED_VALUE"""),"REVG")</f>
        <v>REVG</v>
      </c>
    </row>
    <row r="2033">
      <c r="A2033" s="1" t="str">
        <f>IFERROR(__xludf.DUMMYFUNCTION("""COMPUTED_VALUE"""),"REX")</f>
        <v>REX</v>
      </c>
    </row>
    <row r="2034">
      <c r="A2034" s="1" t="str">
        <f>IFERROR(__xludf.DUMMYFUNCTION("""COMPUTED_VALUE"""),"REXR")</f>
        <v>REXR</v>
      </c>
    </row>
    <row r="2035">
      <c r="A2035" s="1" t="str">
        <f>IFERROR(__xludf.DUMMYFUNCTION("""COMPUTED_VALUE"""),"REZI")</f>
        <v>REZI</v>
      </c>
    </row>
    <row r="2036">
      <c r="A2036" s="1" t="str">
        <f>IFERROR(__xludf.DUMMYFUNCTION("""COMPUTED_VALUE"""),"RF")</f>
        <v>RF</v>
      </c>
    </row>
    <row r="2037">
      <c r="A2037" s="1" t="str">
        <f>IFERROR(__xludf.DUMMYFUNCTION("""COMPUTED_VALUE"""),"RFI")</f>
        <v>RFI</v>
      </c>
    </row>
    <row r="2038">
      <c r="A2038" s="1" t="str">
        <f>IFERROR(__xludf.DUMMYFUNCTION("""COMPUTED_VALUE"""),"RFL")</f>
        <v>RFL</v>
      </c>
    </row>
    <row r="2039">
      <c r="A2039" s="1" t="str">
        <f>IFERROR(__xludf.DUMMYFUNCTION("""COMPUTED_VALUE"""),"RFM")</f>
        <v>RFM</v>
      </c>
    </row>
    <row r="2040">
      <c r="A2040" s="1" t="str">
        <f>IFERROR(__xludf.DUMMYFUNCTION("""COMPUTED_VALUE"""),"RFMZ")</f>
        <v>RFMZ</v>
      </c>
    </row>
    <row r="2041">
      <c r="A2041" s="1" t="str">
        <f>IFERROR(__xludf.DUMMYFUNCTION("""COMPUTED_VALUE"""),"RFP")</f>
        <v>RFP</v>
      </c>
    </row>
    <row r="2042">
      <c r="A2042" s="1" t="str">
        <f>IFERROR(__xludf.DUMMYFUNCTION("""COMPUTED_VALUE"""),"RGA")</f>
        <v>RGA</v>
      </c>
    </row>
    <row r="2043">
      <c r="A2043" s="1" t="str">
        <f>IFERROR(__xludf.DUMMYFUNCTION("""COMPUTED_VALUE"""),"RGR")</f>
        <v>RGR</v>
      </c>
    </row>
    <row r="2044">
      <c r="A2044" s="1" t="str">
        <f>IFERROR(__xludf.DUMMYFUNCTION("""COMPUTED_VALUE"""),"RGS")</f>
        <v>RGS</v>
      </c>
    </row>
    <row r="2045">
      <c r="A2045" s="1" t="str">
        <f>IFERROR(__xludf.DUMMYFUNCTION("""COMPUTED_VALUE"""),"RGT")</f>
        <v>RGT</v>
      </c>
    </row>
    <row r="2046">
      <c r="A2046" s="1" t="str">
        <f>IFERROR(__xludf.DUMMYFUNCTION("""COMPUTED_VALUE"""),"RH")</f>
        <v>RH</v>
      </c>
    </row>
    <row r="2047">
      <c r="A2047" s="1" t="str">
        <f>IFERROR(__xludf.DUMMYFUNCTION("""COMPUTED_VALUE"""),"RHI")</f>
        <v>RHI</v>
      </c>
    </row>
    <row r="2048">
      <c r="A2048" s="1" t="str">
        <f>IFERROR(__xludf.DUMMYFUNCTION("""COMPUTED_VALUE"""),"RHP")</f>
        <v>RHP</v>
      </c>
    </row>
    <row r="2049">
      <c r="A2049" s="1" t="str">
        <f>IFERROR(__xludf.DUMMYFUNCTION("""COMPUTED_VALUE"""),"RICE")</f>
        <v>RICE</v>
      </c>
    </row>
    <row r="2050">
      <c r="A2050" s="1" t="str">
        <f>IFERROR(__xludf.DUMMYFUNCTION("""COMPUTED_VALUE"""),"RIG")</f>
        <v>RIG</v>
      </c>
    </row>
    <row r="2051">
      <c r="A2051" s="1" t="str">
        <f>IFERROR(__xludf.DUMMYFUNCTION("""COMPUTED_VALUE"""),"RIO")</f>
        <v>RIO</v>
      </c>
    </row>
    <row r="2052">
      <c r="A2052" s="1" t="str">
        <f>IFERROR(__xludf.DUMMYFUNCTION("""COMPUTED_VALUE"""),"RIV")</f>
        <v>RIV</v>
      </c>
    </row>
    <row r="2053">
      <c r="A2053" s="1" t="str">
        <f>IFERROR(__xludf.DUMMYFUNCTION("""COMPUTED_VALUE"""),"RJF")</f>
        <v>RJF</v>
      </c>
    </row>
    <row r="2054">
      <c r="A2054" s="1" t="str">
        <f>IFERROR(__xludf.DUMMYFUNCTION("""COMPUTED_VALUE"""),"RKT")</f>
        <v>RKT</v>
      </c>
    </row>
    <row r="2055">
      <c r="A2055" s="1" t="str">
        <f>IFERROR(__xludf.DUMMYFUNCTION("""COMPUTED_VALUE"""),"RKTA")</f>
        <v>RKTA</v>
      </c>
    </row>
    <row r="2056">
      <c r="A2056" s="1" t="str">
        <f>IFERROR(__xludf.DUMMYFUNCTION("""COMPUTED_VALUE"""),"RL")</f>
        <v>RL</v>
      </c>
    </row>
    <row r="2057">
      <c r="A2057" s="1" t="str">
        <f>IFERROR(__xludf.DUMMYFUNCTION("""COMPUTED_VALUE"""),"RLGY")</f>
        <v>RLGY</v>
      </c>
    </row>
    <row r="2058">
      <c r="A2058" s="1" t="str">
        <f>IFERROR(__xludf.DUMMYFUNCTION("""COMPUTED_VALUE"""),"RLI")</f>
        <v>RLI</v>
      </c>
    </row>
    <row r="2059">
      <c r="A2059" s="1" t="str">
        <f>IFERROR(__xludf.DUMMYFUNCTION("""COMPUTED_VALUE"""),"RLJ")</f>
        <v>RLJ</v>
      </c>
    </row>
    <row r="2060">
      <c r="A2060" s="1" t="str">
        <f>IFERROR(__xludf.DUMMYFUNCTION("""COMPUTED_VALUE"""),"RLX")</f>
        <v>RLX</v>
      </c>
    </row>
    <row r="2061">
      <c r="A2061" s="1" t="str">
        <f>IFERROR(__xludf.DUMMYFUNCTION("""COMPUTED_VALUE"""),"RM")</f>
        <v>RM</v>
      </c>
    </row>
    <row r="2062">
      <c r="A2062" s="1" t="str">
        <f>IFERROR(__xludf.DUMMYFUNCTION("""COMPUTED_VALUE"""),"RMAX")</f>
        <v>RMAX</v>
      </c>
    </row>
    <row r="2063">
      <c r="A2063" s="1" t="str">
        <f>IFERROR(__xludf.DUMMYFUNCTION("""COMPUTED_VALUE"""),"RMD")</f>
        <v>RMD</v>
      </c>
    </row>
    <row r="2064">
      <c r="A2064" s="1" t="str">
        <f>IFERROR(__xludf.DUMMYFUNCTION("""COMPUTED_VALUE"""),"RMI")</f>
        <v>RMI</v>
      </c>
    </row>
    <row r="2065">
      <c r="A2065" s="1" t="str">
        <f>IFERROR(__xludf.DUMMYFUNCTION("""COMPUTED_VALUE"""),"RMM")</f>
        <v>RMM</v>
      </c>
    </row>
    <row r="2066">
      <c r="A2066" s="1" t="str">
        <f>IFERROR(__xludf.DUMMYFUNCTION("""COMPUTED_VALUE"""),"RMO")</f>
        <v>RMO</v>
      </c>
    </row>
    <row r="2067">
      <c r="A2067" s="1" t="str">
        <f>IFERROR(__xludf.DUMMYFUNCTION("""COMPUTED_VALUE"""),"RMT")</f>
        <v>RMT</v>
      </c>
    </row>
    <row r="2068">
      <c r="A2068" s="1" t="str">
        <f>IFERROR(__xludf.DUMMYFUNCTION("""COMPUTED_VALUE"""),"RNG")</f>
        <v>RNG</v>
      </c>
    </row>
    <row r="2069">
      <c r="A2069" s="1" t="str">
        <f>IFERROR(__xludf.DUMMYFUNCTION("""COMPUTED_VALUE"""),"RNGR")</f>
        <v>RNGR</v>
      </c>
    </row>
    <row r="2070">
      <c r="A2070" s="1" t="str">
        <f>IFERROR(__xludf.DUMMYFUNCTION("""COMPUTED_VALUE"""),"RNP")</f>
        <v>RNP</v>
      </c>
    </row>
    <row r="2071">
      <c r="A2071" s="1" t="str">
        <f>IFERROR(__xludf.DUMMYFUNCTION("""COMPUTED_VALUE"""),"RNR")</f>
        <v>RNR</v>
      </c>
    </row>
    <row r="2072">
      <c r="A2072" s="1" t="str">
        <f>IFERROR(__xludf.DUMMYFUNCTION("""COMPUTED_VALUE"""),"ROG")</f>
        <v>ROG</v>
      </c>
    </row>
    <row r="2073">
      <c r="A2073" s="1" t="str">
        <f>IFERROR(__xludf.DUMMYFUNCTION("""COMPUTED_VALUE"""),"ROK")</f>
        <v>ROK</v>
      </c>
    </row>
    <row r="2074">
      <c r="A2074" s="1" t="str">
        <f>IFERROR(__xludf.DUMMYFUNCTION("""COMPUTED_VALUE"""),"ROL")</f>
        <v>ROL</v>
      </c>
    </row>
    <row r="2075">
      <c r="A2075" s="1" t="str">
        <f>IFERROR(__xludf.DUMMYFUNCTION("""COMPUTED_VALUE"""),"ROP")</f>
        <v>ROP</v>
      </c>
    </row>
    <row r="2076">
      <c r="A2076" s="1" t="str">
        <f>IFERROR(__xludf.DUMMYFUNCTION("""COMPUTED_VALUE"""),"ROSS")</f>
        <v>ROSS</v>
      </c>
    </row>
    <row r="2077">
      <c r="A2077" s="1" t="str">
        <f>IFERROR(__xludf.DUMMYFUNCTION("""COMPUTED_VALUE"""),"ROT")</f>
        <v>ROT</v>
      </c>
    </row>
    <row r="2078">
      <c r="A2078" s="1" t="str">
        <f>IFERROR(__xludf.DUMMYFUNCTION("""COMPUTED_VALUE"""),"RPAI")</f>
        <v>RPAI</v>
      </c>
    </row>
    <row r="2079">
      <c r="A2079" s="1" t="str">
        <f>IFERROR(__xludf.DUMMYFUNCTION("""COMPUTED_VALUE"""),"RPM")</f>
        <v>RPM</v>
      </c>
    </row>
    <row r="2080">
      <c r="A2080" s="1" t="str">
        <f>IFERROR(__xludf.DUMMYFUNCTION("""COMPUTED_VALUE"""),"RPT")</f>
        <v>RPT</v>
      </c>
    </row>
    <row r="2081">
      <c r="A2081" s="1" t="str">
        <f>IFERROR(__xludf.DUMMYFUNCTION("""COMPUTED_VALUE"""),"RQI")</f>
        <v>RQI</v>
      </c>
    </row>
    <row r="2082">
      <c r="A2082" s="1" t="str">
        <f>IFERROR(__xludf.DUMMYFUNCTION("""COMPUTED_VALUE"""),"RRC")</f>
        <v>RRC</v>
      </c>
    </row>
    <row r="2083">
      <c r="A2083" s="1" t="str">
        <f>IFERROR(__xludf.DUMMYFUNCTION("""COMPUTED_VALUE"""),"RRD")</f>
        <v>RRD</v>
      </c>
    </row>
    <row r="2084">
      <c r="A2084" s="1" t="str">
        <f>IFERROR(__xludf.DUMMYFUNCTION("""COMPUTED_VALUE"""),"RS")</f>
        <v>RS</v>
      </c>
    </row>
    <row r="2085">
      <c r="A2085" s="1" t="str">
        <f>IFERROR(__xludf.DUMMYFUNCTION("""COMPUTED_VALUE"""),"RSF")</f>
        <v>RSF</v>
      </c>
    </row>
    <row r="2086">
      <c r="A2086" s="1" t="str">
        <f>IFERROR(__xludf.DUMMYFUNCTION("""COMPUTED_VALUE"""),"RSG")</f>
        <v>RSG</v>
      </c>
    </row>
    <row r="2087">
      <c r="A2087" s="1" t="str">
        <f>IFERROR(__xludf.DUMMYFUNCTION("""COMPUTED_VALUE"""),"RSI")</f>
        <v>RSI</v>
      </c>
    </row>
    <row r="2088">
      <c r="A2088" s="1" t="str">
        <f>IFERROR(__xludf.DUMMYFUNCTION("""COMPUTED_VALUE"""),"RSKD")</f>
        <v>RSKD</v>
      </c>
    </row>
    <row r="2089">
      <c r="A2089" s="1" t="str">
        <f>IFERROR(__xludf.DUMMYFUNCTION("""COMPUTED_VALUE"""),"RTP")</f>
        <v>RTP</v>
      </c>
    </row>
    <row r="2090">
      <c r="A2090" s="1" t="str">
        <f>IFERROR(__xludf.DUMMYFUNCTION("""COMPUTED_VALUE"""),"RTX")</f>
        <v>RTX</v>
      </c>
    </row>
    <row r="2091">
      <c r="A2091" s="1" t="str">
        <f>IFERROR(__xludf.DUMMYFUNCTION("""COMPUTED_VALUE"""),"RVI")</f>
        <v>RVI</v>
      </c>
    </row>
    <row r="2092">
      <c r="A2092" s="1" t="str">
        <f>IFERROR(__xludf.DUMMYFUNCTION("""COMPUTED_VALUE"""),"RVLV")</f>
        <v>RVLV</v>
      </c>
    </row>
    <row r="2093">
      <c r="A2093" s="1" t="str">
        <f>IFERROR(__xludf.DUMMYFUNCTION("""COMPUTED_VALUE"""),"RVT")</f>
        <v>RVT</v>
      </c>
    </row>
    <row r="2094">
      <c r="A2094" s="1" t="str">
        <f>IFERROR(__xludf.DUMMYFUNCTION("""COMPUTED_VALUE"""),"RWT")</f>
        <v>RWT</v>
      </c>
    </row>
    <row r="2095">
      <c r="A2095" s="1" t="str">
        <f>IFERROR(__xludf.DUMMYFUNCTION("""COMPUTED_VALUE"""),"RXN")</f>
        <v>RXN</v>
      </c>
    </row>
    <row r="2096">
      <c r="A2096" s="1" t="str">
        <f>IFERROR(__xludf.DUMMYFUNCTION("""COMPUTED_VALUE"""),"RY")</f>
        <v>RY</v>
      </c>
    </row>
    <row r="2097">
      <c r="A2097" s="1" t="str">
        <f>IFERROR(__xludf.DUMMYFUNCTION("""COMPUTED_VALUE"""),"RYAM")</f>
        <v>RYAM</v>
      </c>
    </row>
    <row r="2098">
      <c r="A2098" s="1" t="str">
        <f>IFERROR(__xludf.DUMMYFUNCTION("""COMPUTED_VALUE"""),"RYAN")</f>
        <v>RYAN</v>
      </c>
    </row>
    <row r="2099">
      <c r="A2099" s="1" t="str">
        <f>IFERROR(__xludf.DUMMYFUNCTION("""COMPUTED_VALUE"""),"RYB")</f>
        <v>RYB</v>
      </c>
    </row>
    <row r="2100">
      <c r="A2100" s="1" t="str">
        <f>IFERROR(__xludf.DUMMYFUNCTION("""COMPUTED_VALUE"""),"RYI")</f>
        <v>RYI</v>
      </c>
    </row>
    <row r="2101">
      <c r="A2101" s="1" t="str">
        <f>IFERROR(__xludf.DUMMYFUNCTION("""COMPUTED_VALUE"""),"RYN")</f>
        <v>RYN</v>
      </c>
    </row>
    <row r="2102">
      <c r="A2102" s="1" t="str">
        <f>IFERROR(__xludf.DUMMYFUNCTION("""COMPUTED_VALUE"""),"RZA")</f>
        <v>RZA</v>
      </c>
    </row>
    <row r="2103">
      <c r="A2103" s="1" t="str">
        <f>IFERROR(__xludf.DUMMYFUNCTION("""COMPUTED_VALUE"""),"RZB")</f>
        <v>RZB</v>
      </c>
    </row>
    <row r="2104">
      <c r="A2104" s="1" t="str">
        <f>IFERROR(__xludf.DUMMYFUNCTION("""COMPUTED_VALUE"""),"S")</f>
        <v>S</v>
      </c>
    </row>
    <row r="2105">
      <c r="A2105" s="1" t="str">
        <f>IFERROR(__xludf.DUMMYFUNCTION("""COMPUTED_VALUE"""),"SA")</f>
        <v>SA</v>
      </c>
    </row>
    <row r="2106">
      <c r="A2106" s="1" t="str">
        <f>IFERROR(__xludf.DUMMYFUNCTION("""COMPUTED_VALUE"""),"SAF")</f>
        <v>SAF</v>
      </c>
    </row>
    <row r="2107">
      <c r="A2107" s="1" t="str">
        <f>IFERROR(__xludf.DUMMYFUNCTION("""COMPUTED_VALUE"""),"SAFE")</f>
        <v>SAFE</v>
      </c>
    </row>
    <row r="2108">
      <c r="A2108" s="1" t="str">
        <f>IFERROR(__xludf.DUMMYFUNCTION("""COMPUTED_VALUE"""),"SAH")</f>
        <v>SAH</v>
      </c>
    </row>
    <row r="2109">
      <c r="A2109" s="1" t="str">
        <f>IFERROR(__xludf.DUMMYFUNCTION("""COMPUTED_VALUE"""),"SAIC")</f>
        <v>SAIC</v>
      </c>
    </row>
    <row r="2110">
      <c r="A2110" s="1" t="str">
        <f>IFERROR(__xludf.DUMMYFUNCTION("""COMPUTED_VALUE"""),"SAIL")</f>
        <v>SAIL</v>
      </c>
    </row>
    <row r="2111">
      <c r="A2111" s="1" t="str">
        <f>IFERROR(__xludf.DUMMYFUNCTION("""COMPUTED_VALUE"""),"SAK")</f>
        <v>SAK</v>
      </c>
    </row>
    <row r="2112">
      <c r="A2112" s="1" t="str">
        <f>IFERROR(__xludf.DUMMYFUNCTION("""COMPUTED_VALUE"""),"SAM")</f>
        <v>SAM</v>
      </c>
    </row>
    <row r="2113">
      <c r="A2113" s="1" t="str">
        <f>IFERROR(__xludf.DUMMYFUNCTION("""COMPUTED_VALUE"""),"SAN")</f>
        <v>SAN</v>
      </c>
    </row>
    <row r="2114">
      <c r="A2114" s="1" t="str">
        <f>IFERROR(__xludf.DUMMYFUNCTION("""COMPUTED_VALUE"""),"SAND")</f>
        <v>SAND</v>
      </c>
    </row>
    <row r="2115">
      <c r="A2115" s="1" t="str">
        <f>IFERROR(__xludf.DUMMYFUNCTION("""COMPUTED_VALUE"""),"SAP")</f>
        <v>SAP</v>
      </c>
    </row>
    <row r="2116">
      <c r="A2116" s="1" t="str">
        <f>IFERROR(__xludf.DUMMYFUNCTION("""COMPUTED_VALUE"""),"SAR")</f>
        <v>SAR</v>
      </c>
    </row>
    <row r="2117">
      <c r="A2117" s="1" t="str">
        <f>IFERROR(__xludf.DUMMYFUNCTION("""COMPUTED_VALUE"""),"SAVE")</f>
        <v>SAVE</v>
      </c>
    </row>
    <row r="2118">
      <c r="A2118" s="1" t="str">
        <f>IFERROR(__xludf.DUMMYFUNCTION("""COMPUTED_VALUE"""),"SB")</f>
        <v>SB</v>
      </c>
    </row>
    <row r="2119">
      <c r="A2119" s="1" t="str">
        <f>IFERROR(__xludf.DUMMYFUNCTION("""COMPUTED_VALUE"""),"SBBA")</f>
        <v>SBBA</v>
      </c>
    </row>
    <row r="2120">
      <c r="A2120" s="1" t="str">
        <f>IFERROR(__xludf.DUMMYFUNCTION("""COMPUTED_VALUE"""),"SBH")</f>
        <v>SBH</v>
      </c>
    </row>
    <row r="2121">
      <c r="A2121" s="1" t="str">
        <f>IFERROR(__xludf.DUMMYFUNCTION("""COMPUTED_VALUE"""),"SBI")</f>
        <v>SBI</v>
      </c>
    </row>
    <row r="2122">
      <c r="A2122" s="1" t="str">
        <f>IFERROR(__xludf.DUMMYFUNCTION("""COMPUTED_VALUE"""),"SBII")</f>
        <v>SBII</v>
      </c>
    </row>
    <row r="2123">
      <c r="A2123" s="1" t="str">
        <f>IFERROR(__xludf.DUMMYFUNCTION("""COMPUTED_VALUE"""),"SBOW")</f>
        <v>SBOW</v>
      </c>
    </row>
    <row r="2124">
      <c r="A2124" s="1" t="str">
        <f>IFERROR(__xludf.DUMMYFUNCTION("""COMPUTED_VALUE"""),"SBR")</f>
        <v>SBR</v>
      </c>
    </row>
    <row r="2125">
      <c r="A2125" s="1" t="str">
        <f>IFERROR(__xludf.DUMMYFUNCTION("""COMPUTED_VALUE"""),"SBS")</f>
        <v>SBS</v>
      </c>
    </row>
    <row r="2126">
      <c r="A2126" s="1" t="str">
        <f>IFERROR(__xludf.DUMMYFUNCTION("""COMPUTED_VALUE"""),"SBSW")</f>
        <v>SBSW</v>
      </c>
    </row>
    <row r="2127">
      <c r="A2127" s="1" t="str">
        <f>IFERROR(__xludf.DUMMYFUNCTION("""COMPUTED_VALUE"""),"SC")</f>
        <v>SC</v>
      </c>
    </row>
    <row r="2128">
      <c r="A2128" s="1" t="str">
        <f>IFERROR(__xludf.DUMMYFUNCTION("""COMPUTED_VALUE"""),"SCCO")</f>
        <v>SCCO</v>
      </c>
    </row>
    <row r="2129">
      <c r="A2129" s="1" t="str">
        <f>IFERROR(__xludf.DUMMYFUNCTION("""COMPUTED_VALUE"""),"SCD")</f>
        <v>SCD</v>
      </c>
    </row>
    <row r="2130">
      <c r="A2130" s="1" t="str">
        <f>IFERROR(__xludf.DUMMYFUNCTION("""COMPUTED_VALUE"""),"SCHW")</f>
        <v>SCHW</v>
      </c>
    </row>
    <row r="2131">
      <c r="A2131" s="1" t="str">
        <f>IFERROR(__xludf.DUMMYFUNCTION("""COMPUTED_VALUE"""),"SCI")</f>
        <v>SCI</v>
      </c>
    </row>
    <row r="2132">
      <c r="A2132" s="1" t="str">
        <f>IFERROR(__xludf.DUMMYFUNCTION("""COMPUTED_VALUE"""),"SCL")</f>
        <v>SCL</v>
      </c>
    </row>
    <row r="2133">
      <c r="A2133" s="1" t="str">
        <f>IFERROR(__xludf.DUMMYFUNCTION("""COMPUTED_VALUE"""),"SCM")</f>
        <v>SCM</v>
      </c>
    </row>
    <row r="2134">
      <c r="A2134" s="1" t="str">
        <f>IFERROR(__xludf.DUMMYFUNCTION("""COMPUTED_VALUE"""),"SCPE")</f>
        <v>SCPE</v>
      </c>
    </row>
    <row r="2135">
      <c r="A2135" s="1" t="str">
        <f>IFERROR(__xludf.DUMMYFUNCTION("""COMPUTED_VALUE"""),"SCS")</f>
        <v>SCS</v>
      </c>
    </row>
    <row r="2136">
      <c r="A2136" s="1" t="str">
        <f>IFERROR(__xludf.DUMMYFUNCTION("""COMPUTED_VALUE"""),"SCU")</f>
        <v>SCU</v>
      </c>
    </row>
    <row r="2137">
      <c r="A2137" s="1" t="str">
        <f>IFERROR(__xludf.DUMMYFUNCTION("""COMPUTED_VALUE"""),"SCVX")</f>
        <v>SCVX</v>
      </c>
    </row>
    <row r="2138">
      <c r="A2138" s="1" t="str">
        <f>IFERROR(__xludf.DUMMYFUNCTION("""COMPUTED_VALUE"""),"SCX")</f>
        <v>SCX</v>
      </c>
    </row>
    <row r="2139">
      <c r="A2139" s="1" t="str">
        <f>IFERROR(__xludf.DUMMYFUNCTION("""COMPUTED_VALUE"""),"SD")</f>
        <v>SD</v>
      </c>
    </row>
    <row r="2140">
      <c r="A2140" s="1" t="str">
        <f>IFERROR(__xludf.DUMMYFUNCTION("""COMPUTED_VALUE"""),"SDHY")</f>
        <v>SDHY</v>
      </c>
    </row>
    <row r="2141">
      <c r="A2141" s="1" t="str">
        <f>IFERROR(__xludf.DUMMYFUNCTION("""COMPUTED_VALUE"""),"SE")</f>
        <v>SE</v>
      </c>
    </row>
    <row r="2142">
      <c r="A2142" s="1" t="str">
        <f>IFERROR(__xludf.DUMMYFUNCTION("""COMPUTED_VALUE"""),"SEAH")</f>
        <v>SEAH</v>
      </c>
    </row>
    <row r="2143">
      <c r="A2143" s="1" t="str">
        <f>IFERROR(__xludf.DUMMYFUNCTION("""COMPUTED_VALUE"""),"SEAS")</f>
        <v>SEAS</v>
      </c>
    </row>
    <row r="2144">
      <c r="A2144" s="1" t="str">
        <f>IFERROR(__xludf.DUMMYFUNCTION("""COMPUTED_VALUE"""),"SEE")</f>
        <v>SEE</v>
      </c>
    </row>
    <row r="2145">
      <c r="A2145" s="1" t="str">
        <f>IFERROR(__xludf.DUMMYFUNCTION("""COMPUTED_VALUE"""),"SEM")</f>
        <v>SEM</v>
      </c>
    </row>
    <row r="2146">
      <c r="A2146" s="1" t="str">
        <f>IFERROR(__xludf.DUMMYFUNCTION("""COMPUTED_VALUE"""),"SEMR")</f>
        <v>SEMR</v>
      </c>
    </row>
    <row r="2147">
      <c r="A2147" s="1" t="str">
        <f>IFERROR(__xludf.DUMMYFUNCTION("""COMPUTED_VALUE"""),"SF")</f>
        <v>SF</v>
      </c>
    </row>
    <row r="2148">
      <c r="A2148" s="1" t="str">
        <f>IFERROR(__xludf.DUMMYFUNCTION("""COMPUTED_VALUE"""),"SFB")</f>
        <v>SFB</v>
      </c>
    </row>
    <row r="2149">
      <c r="A2149" s="1" t="str">
        <f>IFERROR(__xludf.DUMMYFUNCTION("""COMPUTED_VALUE"""),"SFBS")</f>
        <v>SFBS</v>
      </c>
    </row>
    <row r="2150">
      <c r="A2150" s="1" t="str">
        <f>IFERROR(__xludf.DUMMYFUNCTION("""COMPUTED_VALUE"""),"SFE")</f>
        <v>SFE</v>
      </c>
    </row>
    <row r="2151">
      <c r="A2151" s="1" t="str">
        <f>IFERROR(__xludf.DUMMYFUNCTION("""COMPUTED_VALUE"""),"SFL")</f>
        <v>SFL</v>
      </c>
    </row>
    <row r="2152">
      <c r="A2152" s="1" t="str">
        <f>IFERROR(__xludf.DUMMYFUNCTION("""COMPUTED_VALUE"""),"SFTW")</f>
        <v>SFTW</v>
      </c>
    </row>
    <row r="2153">
      <c r="A2153" s="1" t="str">
        <f>IFERROR(__xludf.DUMMYFUNCTION("""COMPUTED_VALUE"""),"SFUN")</f>
        <v>SFUN</v>
      </c>
    </row>
    <row r="2154">
      <c r="A2154" s="1" t="str">
        <f>IFERROR(__xludf.DUMMYFUNCTION("""COMPUTED_VALUE"""),"SGFY")</f>
        <v>SGFY</v>
      </c>
    </row>
    <row r="2155">
      <c r="A2155" s="1" t="str">
        <f>IFERROR(__xludf.DUMMYFUNCTION("""COMPUTED_VALUE"""),"SGU")</f>
        <v>SGU</v>
      </c>
    </row>
    <row r="2156">
      <c r="A2156" s="1" t="str">
        <f>IFERROR(__xludf.DUMMYFUNCTION("""COMPUTED_VALUE"""),"SHAK")</f>
        <v>SHAK</v>
      </c>
    </row>
    <row r="2157">
      <c r="A2157" s="1" t="str">
        <f>IFERROR(__xludf.DUMMYFUNCTION("""COMPUTED_VALUE"""),"SHG")</f>
        <v>SHG</v>
      </c>
    </row>
    <row r="2158">
      <c r="A2158" s="1" t="str">
        <f>IFERROR(__xludf.DUMMYFUNCTION("""COMPUTED_VALUE"""),"SHI")</f>
        <v>SHI</v>
      </c>
    </row>
    <row r="2159">
      <c r="A2159" s="1" t="str">
        <f>IFERROR(__xludf.DUMMYFUNCTION("""COMPUTED_VALUE"""),"SHLX")</f>
        <v>SHLX</v>
      </c>
    </row>
    <row r="2160">
      <c r="A2160" s="1" t="str">
        <f>IFERROR(__xludf.DUMMYFUNCTION("""COMPUTED_VALUE"""),"SHO")</f>
        <v>SHO</v>
      </c>
    </row>
    <row r="2161">
      <c r="A2161" s="1" t="str">
        <f>IFERROR(__xludf.DUMMYFUNCTION("""COMPUTED_VALUE"""),"SHOP")</f>
        <v>SHOP</v>
      </c>
    </row>
    <row r="2162">
      <c r="A2162" s="1" t="str">
        <f>IFERROR(__xludf.DUMMYFUNCTION("""COMPUTED_VALUE"""),"SHW")</f>
        <v>SHW</v>
      </c>
    </row>
    <row r="2163">
      <c r="A2163" s="1" t="str">
        <f>IFERROR(__xludf.DUMMYFUNCTION("""COMPUTED_VALUE"""),"SI")</f>
        <v>SI</v>
      </c>
    </row>
    <row r="2164">
      <c r="A2164" s="1" t="str">
        <f>IFERROR(__xludf.DUMMYFUNCTION("""COMPUTED_VALUE"""),"SID")</f>
        <v>SID</v>
      </c>
    </row>
    <row r="2165">
      <c r="A2165" s="1" t="str">
        <f>IFERROR(__xludf.DUMMYFUNCTION("""COMPUTED_VALUE"""),"SIG")</f>
        <v>SIG</v>
      </c>
    </row>
    <row r="2166">
      <c r="A2166" s="1" t="str">
        <f>IFERROR(__xludf.DUMMYFUNCTION("""COMPUTED_VALUE"""),"SII")</f>
        <v>SII</v>
      </c>
    </row>
    <row r="2167">
      <c r="A2167" s="1" t="str">
        <f>IFERROR(__xludf.DUMMYFUNCTION("""COMPUTED_VALUE"""),"SITC")</f>
        <v>SITC</v>
      </c>
    </row>
    <row r="2168">
      <c r="A2168" s="1" t="str">
        <f>IFERROR(__xludf.DUMMYFUNCTION("""COMPUTED_VALUE"""),"SITE")</f>
        <v>SITE</v>
      </c>
    </row>
    <row r="2169">
      <c r="A2169" s="1" t="str">
        <f>IFERROR(__xludf.DUMMYFUNCTION("""COMPUTED_VALUE"""),"SIX")</f>
        <v>SIX</v>
      </c>
    </row>
    <row r="2170">
      <c r="A2170" s="1" t="str">
        <f>IFERROR(__xludf.DUMMYFUNCTION("""COMPUTED_VALUE"""),"SJI")</f>
        <v>SJI</v>
      </c>
    </row>
    <row r="2171">
      <c r="A2171" s="1" t="str">
        <f>IFERROR(__xludf.DUMMYFUNCTION("""COMPUTED_VALUE"""),"SJIJ")</f>
        <v>SJIJ</v>
      </c>
    </row>
    <row r="2172">
      <c r="A2172" s="1" t="str">
        <f>IFERROR(__xludf.DUMMYFUNCTION("""COMPUTED_VALUE"""),"SJIV")</f>
        <v>SJIV</v>
      </c>
    </row>
    <row r="2173">
      <c r="A2173" s="1" t="str">
        <f>IFERROR(__xludf.DUMMYFUNCTION("""COMPUTED_VALUE"""),"SJM")</f>
        <v>SJM</v>
      </c>
    </row>
    <row r="2174">
      <c r="A2174" s="1" t="str">
        <f>IFERROR(__xludf.DUMMYFUNCTION("""COMPUTED_VALUE"""),"SJR")</f>
        <v>SJR</v>
      </c>
    </row>
    <row r="2175">
      <c r="A2175" s="1" t="str">
        <f>IFERROR(__xludf.DUMMYFUNCTION("""COMPUTED_VALUE"""),"SJT")</f>
        <v>SJT</v>
      </c>
    </row>
    <row r="2176">
      <c r="A2176" s="1" t="str">
        <f>IFERROR(__xludf.DUMMYFUNCTION("""COMPUTED_VALUE"""),"SJW")</f>
        <v>SJW</v>
      </c>
    </row>
    <row r="2177">
      <c r="A2177" s="1" t="str">
        <f>IFERROR(__xludf.DUMMYFUNCTION("""COMPUTED_VALUE"""),"SKIL")</f>
        <v>SKIL</v>
      </c>
    </row>
    <row r="2178">
      <c r="A2178" s="1" t="str">
        <f>IFERROR(__xludf.DUMMYFUNCTION("""COMPUTED_VALUE"""),"SKLZ")</f>
        <v>SKLZ</v>
      </c>
    </row>
    <row r="2179">
      <c r="A2179" s="1" t="str">
        <f>IFERROR(__xludf.DUMMYFUNCTION("""COMPUTED_VALUE"""),"SKM")</f>
        <v>SKM</v>
      </c>
    </row>
    <row r="2180">
      <c r="A2180" s="1" t="str">
        <f>IFERROR(__xludf.DUMMYFUNCTION("""COMPUTED_VALUE"""),"SKT")</f>
        <v>SKT</v>
      </c>
    </row>
    <row r="2181">
      <c r="A2181" s="1" t="str">
        <f>IFERROR(__xludf.DUMMYFUNCTION("""COMPUTED_VALUE"""),"SKX")</f>
        <v>SKX</v>
      </c>
    </row>
    <row r="2182">
      <c r="A2182" s="1" t="str">
        <f>IFERROR(__xludf.DUMMYFUNCTION("""COMPUTED_VALUE"""),"SKY")</f>
        <v>SKY</v>
      </c>
    </row>
    <row r="2183">
      <c r="A2183" s="1" t="str">
        <f>IFERROR(__xludf.DUMMYFUNCTION("""COMPUTED_VALUE"""),"SLAC")</f>
        <v>SLAC</v>
      </c>
    </row>
    <row r="2184">
      <c r="A2184" s="1" t="str">
        <f>IFERROR(__xludf.DUMMYFUNCTION("""COMPUTED_VALUE"""),"SLB")</f>
        <v>SLB</v>
      </c>
    </row>
    <row r="2185">
      <c r="A2185" s="1" t="str">
        <f>IFERROR(__xludf.DUMMYFUNCTION("""COMPUTED_VALUE"""),"SLCA")</f>
        <v>SLCA</v>
      </c>
    </row>
    <row r="2186">
      <c r="A2186" s="1" t="str">
        <f>IFERROR(__xludf.DUMMYFUNCTION("""COMPUTED_VALUE"""),"SLF")</f>
        <v>SLF</v>
      </c>
    </row>
    <row r="2187">
      <c r="A2187" s="1" t="str">
        <f>IFERROR(__xludf.DUMMYFUNCTION("""COMPUTED_VALUE"""),"SLG")</f>
        <v>SLG</v>
      </c>
    </row>
    <row r="2188">
      <c r="A2188" s="1" t="str">
        <f>IFERROR(__xludf.DUMMYFUNCTION("""COMPUTED_VALUE"""),"SLQT")</f>
        <v>SLQT</v>
      </c>
    </row>
    <row r="2189">
      <c r="A2189" s="1" t="str">
        <f>IFERROR(__xludf.DUMMYFUNCTION("""COMPUTED_VALUE"""),"SM")</f>
        <v>SM</v>
      </c>
    </row>
    <row r="2190">
      <c r="A2190" s="1" t="str">
        <f>IFERROR(__xludf.DUMMYFUNCTION("""COMPUTED_VALUE"""),"SMAR")</f>
        <v>SMAR</v>
      </c>
    </row>
    <row r="2191">
      <c r="A2191" s="1" t="str">
        <f>IFERROR(__xludf.DUMMYFUNCTION("""COMPUTED_VALUE"""),"SMFG")</f>
        <v>SMFG</v>
      </c>
    </row>
    <row r="2192">
      <c r="A2192" s="1" t="str">
        <f>IFERROR(__xludf.DUMMYFUNCTION("""COMPUTED_VALUE"""),"SMG")</f>
        <v>SMG</v>
      </c>
    </row>
    <row r="2193">
      <c r="A2193" s="1" t="str">
        <f>IFERROR(__xludf.DUMMYFUNCTION("""COMPUTED_VALUE"""),"SMHI")</f>
        <v>SMHI</v>
      </c>
    </row>
    <row r="2194">
      <c r="A2194" s="1" t="str">
        <f>IFERROR(__xludf.DUMMYFUNCTION("""COMPUTED_VALUE"""),"SMLP")</f>
        <v>SMLP</v>
      </c>
    </row>
    <row r="2195">
      <c r="A2195" s="1" t="str">
        <f>IFERROR(__xludf.DUMMYFUNCTION("""COMPUTED_VALUE"""),"SMM")</f>
        <v>SMM</v>
      </c>
    </row>
    <row r="2196">
      <c r="A2196" s="1" t="str">
        <f>IFERROR(__xludf.DUMMYFUNCTION("""COMPUTED_VALUE"""),"SMP")</f>
        <v>SMP</v>
      </c>
    </row>
    <row r="2197">
      <c r="A2197" s="1" t="str">
        <f>IFERROR(__xludf.DUMMYFUNCTION("""COMPUTED_VALUE"""),"SMWB")</f>
        <v>SMWB</v>
      </c>
    </row>
    <row r="2198">
      <c r="A2198" s="1" t="str">
        <f>IFERROR(__xludf.DUMMYFUNCTION("""COMPUTED_VALUE"""),"SNA")</f>
        <v>SNA</v>
      </c>
    </row>
    <row r="2199">
      <c r="A2199" s="1" t="str">
        <f>IFERROR(__xludf.DUMMYFUNCTION("""COMPUTED_VALUE"""),"SNAP")</f>
        <v>SNAP</v>
      </c>
    </row>
    <row r="2200">
      <c r="A2200" s="1" t="str">
        <f>IFERROR(__xludf.DUMMYFUNCTION("""COMPUTED_VALUE"""),"SNDR")</f>
        <v>SNDR</v>
      </c>
    </row>
    <row r="2201">
      <c r="A2201" s="1" t="str">
        <f>IFERROR(__xludf.DUMMYFUNCTION("""COMPUTED_VALUE"""),"SNII")</f>
        <v>SNII</v>
      </c>
    </row>
    <row r="2202">
      <c r="A2202" s="1" t="str">
        <f>IFERROR(__xludf.DUMMYFUNCTION("""COMPUTED_VALUE"""),"SNN")</f>
        <v>SNN</v>
      </c>
    </row>
    <row r="2203">
      <c r="A2203" s="1" t="str">
        <f>IFERROR(__xludf.DUMMYFUNCTION("""COMPUTED_VALUE"""),"SNOW")</f>
        <v>SNOW</v>
      </c>
    </row>
    <row r="2204">
      <c r="A2204" s="1" t="str">
        <f>IFERROR(__xludf.DUMMYFUNCTION("""COMPUTED_VALUE"""),"SNP")</f>
        <v>SNP</v>
      </c>
    </row>
    <row r="2205">
      <c r="A2205" s="1" t="str">
        <f>IFERROR(__xludf.DUMMYFUNCTION("""COMPUTED_VALUE"""),"SNPR")</f>
        <v>SNPR</v>
      </c>
    </row>
    <row r="2206">
      <c r="A2206" s="1" t="str">
        <f>IFERROR(__xludf.DUMMYFUNCTION("""COMPUTED_VALUE"""),"SNR")</f>
        <v>SNR</v>
      </c>
    </row>
    <row r="2207">
      <c r="A2207" s="1" t="str">
        <f>IFERROR(__xludf.DUMMYFUNCTION("""COMPUTED_VALUE"""),"SNV")</f>
        <v>SNV</v>
      </c>
    </row>
    <row r="2208">
      <c r="A2208" s="1" t="str">
        <f>IFERROR(__xludf.DUMMYFUNCTION("""COMPUTED_VALUE"""),"SNX")</f>
        <v>SNX</v>
      </c>
    </row>
    <row r="2209">
      <c r="A2209" s="1" t="str">
        <f>IFERROR(__xludf.DUMMYFUNCTION("""COMPUTED_VALUE"""),"SO")</f>
        <v>SO</v>
      </c>
    </row>
    <row r="2210">
      <c r="A2210" s="1" t="str">
        <f>IFERROR(__xludf.DUMMYFUNCTION("""COMPUTED_VALUE"""),"SOAC")</f>
        <v>SOAC</v>
      </c>
    </row>
    <row r="2211">
      <c r="A2211" s="1" t="str">
        <f>IFERROR(__xludf.DUMMYFUNCTION("""COMPUTED_VALUE"""),"SOGO")</f>
        <v>SOGO</v>
      </c>
    </row>
    <row r="2212">
      <c r="A2212" s="1" t="str">
        <f>IFERROR(__xludf.DUMMYFUNCTION("""COMPUTED_VALUE"""),"SOI")</f>
        <v>SOI</v>
      </c>
    </row>
    <row r="2213">
      <c r="A2213" s="1" t="str">
        <f>IFERROR(__xludf.DUMMYFUNCTION("""COMPUTED_VALUE"""),"SOJB")</f>
        <v>SOJB</v>
      </c>
    </row>
    <row r="2214">
      <c r="A2214" s="1" t="str">
        <f>IFERROR(__xludf.DUMMYFUNCTION("""COMPUTED_VALUE"""),"SOJC")</f>
        <v>SOJC</v>
      </c>
    </row>
    <row r="2215">
      <c r="A2215" s="1" t="str">
        <f>IFERROR(__xludf.DUMMYFUNCTION("""COMPUTED_VALUE"""),"SOJD")</f>
        <v>SOJD</v>
      </c>
    </row>
    <row r="2216">
      <c r="A2216" s="1" t="str">
        <f>IFERROR(__xludf.DUMMYFUNCTION("""COMPUTED_VALUE"""),"SOJE")</f>
        <v>SOJE</v>
      </c>
    </row>
    <row r="2217">
      <c r="A2217" s="1" t="str">
        <f>IFERROR(__xludf.DUMMYFUNCTION("""COMPUTED_VALUE"""),"SOL")</f>
        <v>SOL</v>
      </c>
    </row>
    <row r="2218">
      <c r="A2218" s="1" t="str">
        <f>IFERROR(__xludf.DUMMYFUNCTION("""COMPUTED_VALUE"""),"SOLN")</f>
        <v>SOLN</v>
      </c>
    </row>
    <row r="2219">
      <c r="A2219" s="1" t="str">
        <f>IFERROR(__xludf.DUMMYFUNCTION("""COMPUTED_VALUE"""),"SON")</f>
        <v>SON</v>
      </c>
    </row>
    <row r="2220">
      <c r="A2220" s="1" t="str">
        <f>IFERROR(__xludf.DUMMYFUNCTION("""COMPUTED_VALUE"""),"SONY")</f>
        <v>SONY</v>
      </c>
    </row>
    <row r="2221">
      <c r="A2221" s="1" t="str">
        <f>IFERROR(__xludf.DUMMYFUNCTION("""COMPUTED_VALUE"""),"SOR")</f>
        <v>SOR</v>
      </c>
    </row>
    <row r="2222">
      <c r="A2222" s="1" t="str">
        <f>IFERROR(__xludf.DUMMYFUNCTION("""COMPUTED_VALUE"""),"SOS")</f>
        <v>SOS</v>
      </c>
    </row>
    <row r="2223">
      <c r="A2223" s="1" t="str">
        <f>IFERROR(__xludf.DUMMYFUNCTION("""COMPUTED_VALUE"""),"SPAQ")</f>
        <v>SPAQ</v>
      </c>
    </row>
    <row r="2224">
      <c r="A2224" s="1" t="str">
        <f>IFERROR(__xludf.DUMMYFUNCTION("""COMPUTED_VALUE"""),"SPB")</f>
        <v>SPB</v>
      </c>
    </row>
    <row r="2225">
      <c r="A2225" s="1" t="str">
        <f>IFERROR(__xludf.DUMMYFUNCTION("""COMPUTED_VALUE"""),"SPCE")</f>
        <v>SPCE</v>
      </c>
    </row>
    <row r="2226">
      <c r="A2226" s="1" t="str">
        <f>IFERROR(__xludf.DUMMYFUNCTION("""COMPUTED_VALUE"""),"SPE")</f>
        <v>SPE</v>
      </c>
    </row>
    <row r="2227">
      <c r="A2227" s="1" t="str">
        <f>IFERROR(__xludf.DUMMYFUNCTION("""COMPUTED_VALUE"""),"SPFR")</f>
        <v>SPFR</v>
      </c>
    </row>
    <row r="2228">
      <c r="A2228" s="1" t="str">
        <f>IFERROR(__xludf.DUMMYFUNCTION("""COMPUTED_VALUE"""),"SPG")</f>
        <v>SPG</v>
      </c>
    </row>
    <row r="2229">
      <c r="A2229" s="1" t="str">
        <f>IFERROR(__xludf.DUMMYFUNCTION("""COMPUTED_VALUE"""),"SPGI")</f>
        <v>SPGI</v>
      </c>
    </row>
    <row r="2230">
      <c r="A2230" s="1" t="str">
        <f>IFERROR(__xludf.DUMMYFUNCTION("""COMPUTED_VALUE"""),"SPGS")</f>
        <v>SPGS</v>
      </c>
    </row>
    <row r="2231">
      <c r="A2231" s="1" t="str">
        <f>IFERROR(__xludf.DUMMYFUNCTION("""COMPUTED_VALUE"""),"SPH")</f>
        <v>SPH</v>
      </c>
    </row>
    <row r="2232">
      <c r="A2232" s="1" t="str">
        <f>IFERROR(__xludf.DUMMYFUNCTION("""COMPUTED_VALUE"""),"SPLP")</f>
        <v>SPLP</v>
      </c>
    </row>
    <row r="2233">
      <c r="A2233" s="1" t="str">
        <f>IFERROR(__xludf.DUMMYFUNCTION("""COMPUTED_VALUE"""),"SPNT")</f>
        <v>SPNT</v>
      </c>
    </row>
    <row r="2234">
      <c r="A2234" s="1" t="str">
        <f>IFERROR(__xludf.DUMMYFUNCTION("""COMPUTED_VALUE"""),"SPNV")</f>
        <v>SPNV</v>
      </c>
    </row>
    <row r="2235">
      <c r="A2235" s="1" t="str">
        <f>IFERROR(__xludf.DUMMYFUNCTION("""COMPUTED_VALUE"""),"SPOT")</f>
        <v>SPOT</v>
      </c>
    </row>
    <row r="2236">
      <c r="A2236" s="1" t="str">
        <f>IFERROR(__xludf.DUMMYFUNCTION("""COMPUTED_VALUE"""),"SPR")</f>
        <v>SPR</v>
      </c>
    </row>
    <row r="2237">
      <c r="A2237" s="1" t="str">
        <f>IFERROR(__xludf.DUMMYFUNCTION("""COMPUTED_VALUE"""),"SPXC")</f>
        <v>SPXC</v>
      </c>
    </row>
    <row r="2238">
      <c r="A2238" s="1" t="str">
        <f>IFERROR(__xludf.DUMMYFUNCTION("""COMPUTED_VALUE"""),"SPXX")</f>
        <v>SPXX</v>
      </c>
    </row>
    <row r="2239">
      <c r="A2239" s="1" t="str">
        <f>IFERROR(__xludf.DUMMYFUNCTION("""COMPUTED_VALUE"""),"SQ")</f>
        <v>SQ</v>
      </c>
    </row>
    <row r="2240">
      <c r="A2240" s="1" t="str">
        <f>IFERROR(__xludf.DUMMYFUNCTION("""COMPUTED_VALUE"""),"SQM")</f>
        <v>SQM</v>
      </c>
    </row>
    <row r="2241">
      <c r="A2241" s="1" t="str">
        <f>IFERROR(__xludf.DUMMYFUNCTION("""COMPUTED_VALUE"""),"SQNS")</f>
        <v>SQNS</v>
      </c>
    </row>
    <row r="2242">
      <c r="A2242" s="1" t="str">
        <f>IFERROR(__xludf.DUMMYFUNCTION("""COMPUTED_VALUE"""),"SQSP")</f>
        <v>SQSP</v>
      </c>
    </row>
    <row r="2243">
      <c r="A2243" s="1" t="str">
        <f>IFERROR(__xludf.DUMMYFUNCTION("""COMPUTED_VALUE"""),"SQZ")</f>
        <v>SQZ</v>
      </c>
    </row>
    <row r="2244">
      <c r="A2244" s="1" t="str">
        <f>IFERROR(__xludf.DUMMYFUNCTION("""COMPUTED_VALUE"""),"SR")</f>
        <v>SR</v>
      </c>
    </row>
    <row r="2245">
      <c r="A2245" s="1" t="str">
        <f>IFERROR(__xludf.DUMMYFUNCTION("""COMPUTED_VALUE"""),"SRC")</f>
        <v>SRC</v>
      </c>
    </row>
    <row r="2246">
      <c r="A2246" s="1" t="str">
        <f>IFERROR(__xludf.DUMMYFUNCTION("""COMPUTED_VALUE"""),"SRE")</f>
        <v>SRE</v>
      </c>
    </row>
    <row r="2247">
      <c r="A2247" s="1" t="str">
        <f>IFERROR(__xludf.DUMMYFUNCTION("""COMPUTED_VALUE"""),"SREA")</f>
        <v>SREA</v>
      </c>
    </row>
    <row r="2248">
      <c r="A2248" s="1" t="str">
        <f>IFERROR(__xludf.DUMMYFUNCTION("""COMPUTED_VALUE"""),"SRG")</f>
        <v>SRG</v>
      </c>
    </row>
    <row r="2249">
      <c r="A2249" s="1" t="str">
        <f>IFERROR(__xludf.DUMMYFUNCTION("""COMPUTED_VALUE"""),"SRI")</f>
        <v>SRI</v>
      </c>
    </row>
    <row r="2250">
      <c r="A2250" s="1" t="str">
        <f>IFERROR(__xludf.DUMMYFUNCTION("""COMPUTED_VALUE"""),"SRL")</f>
        <v>SRL</v>
      </c>
    </row>
    <row r="2251">
      <c r="A2251" s="1" t="str">
        <f>IFERROR(__xludf.DUMMYFUNCTION("""COMPUTED_VALUE"""),"SRLP")</f>
        <v>SRLP</v>
      </c>
    </row>
    <row r="2252">
      <c r="A2252" s="1" t="str">
        <f>IFERROR(__xludf.DUMMYFUNCTION("""COMPUTED_VALUE"""),"SRT")</f>
        <v>SRT</v>
      </c>
    </row>
    <row r="2253">
      <c r="A2253" s="1" t="str">
        <f>IFERROR(__xludf.DUMMYFUNCTION("""COMPUTED_VALUE"""),"SRV")</f>
        <v>SRV</v>
      </c>
    </row>
    <row r="2254">
      <c r="A2254" s="1" t="str">
        <f>IFERROR(__xludf.DUMMYFUNCTION("""COMPUTED_VALUE"""),"SSD")</f>
        <v>SSD</v>
      </c>
    </row>
    <row r="2255">
      <c r="A2255" s="1" t="str">
        <f>IFERROR(__xludf.DUMMYFUNCTION("""COMPUTED_VALUE"""),"SSL")</f>
        <v>SSL</v>
      </c>
    </row>
    <row r="2256">
      <c r="A2256" s="1" t="str">
        <f>IFERROR(__xludf.DUMMYFUNCTION("""COMPUTED_VALUE"""),"SSTK")</f>
        <v>SSTK</v>
      </c>
    </row>
    <row r="2257">
      <c r="A2257" s="1" t="str">
        <f>IFERROR(__xludf.DUMMYFUNCTION("""COMPUTED_VALUE"""),"ST")</f>
        <v>ST</v>
      </c>
    </row>
    <row r="2258">
      <c r="A2258" s="1" t="str">
        <f>IFERROR(__xludf.DUMMYFUNCTION("""COMPUTED_VALUE"""),"STAG")</f>
        <v>STAG</v>
      </c>
    </row>
    <row r="2259">
      <c r="A2259" s="1" t="str">
        <f>IFERROR(__xludf.DUMMYFUNCTION("""COMPUTED_VALUE"""),"STAR")</f>
        <v>STAR</v>
      </c>
    </row>
    <row r="2260">
      <c r="A2260" s="1" t="str">
        <f>IFERROR(__xludf.DUMMYFUNCTION("""COMPUTED_VALUE"""),"STC")</f>
        <v>STC</v>
      </c>
    </row>
    <row r="2261">
      <c r="A2261" s="1" t="str">
        <f>IFERROR(__xludf.DUMMYFUNCTION("""COMPUTED_VALUE"""),"STE")</f>
        <v>STE</v>
      </c>
    </row>
    <row r="2262">
      <c r="A2262" s="1" t="str">
        <f>IFERROR(__xludf.DUMMYFUNCTION("""COMPUTED_VALUE"""),"STEM")</f>
        <v>STEM</v>
      </c>
    </row>
    <row r="2263">
      <c r="A2263" s="1" t="str">
        <f>IFERROR(__xludf.DUMMYFUNCTION("""COMPUTED_VALUE"""),"STG")</f>
        <v>STG</v>
      </c>
    </row>
    <row r="2264">
      <c r="A2264" s="1" t="str">
        <f>IFERROR(__xludf.DUMMYFUNCTION("""COMPUTED_VALUE"""),"STK")</f>
        <v>STK</v>
      </c>
    </row>
    <row r="2265">
      <c r="A2265" s="1" t="str">
        <f>IFERROR(__xludf.DUMMYFUNCTION("""COMPUTED_VALUE"""),"STL")</f>
        <v>STL</v>
      </c>
    </row>
    <row r="2266">
      <c r="A2266" s="1" t="str">
        <f>IFERROR(__xludf.DUMMYFUNCTION("""COMPUTED_VALUE"""),"STLA")</f>
        <v>STLA</v>
      </c>
    </row>
    <row r="2267">
      <c r="A2267" s="1" t="str">
        <f>IFERROR(__xludf.DUMMYFUNCTION("""COMPUTED_VALUE"""),"STM")</f>
        <v>STM</v>
      </c>
    </row>
    <row r="2268">
      <c r="A2268" s="1" t="str">
        <f>IFERROR(__xludf.DUMMYFUNCTION("""COMPUTED_VALUE"""),"STN")</f>
        <v>STN</v>
      </c>
    </row>
    <row r="2269">
      <c r="A2269" s="1" t="str">
        <f>IFERROR(__xludf.DUMMYFUNCTION("""COMPUTED_VALUE"""),"STNG")</f>
        <v>STNG</v>
      </c>
    </row>
    <row r="2270">
      <c r="A2270" s="1" t="str">
        <f>IFERROR(__xludf.DUMMYFUNCTION("""COMPUTED_VALUE"""),"STON")</f>
        <v>STON</v>
      </c>
    </row>
    <row r="2271">
      <c r="A2271" s="1" t="str">
        <f>IFERROR(__xludf.DUMMYFUNCTION("""COMPUTED_VALUE"""),"STOR")</f>
        <v>STOR</v>
      </c>
    </row>
    <row r="2272">
      <c r="A2272" s="1" t="str">
        <f>IFERROR(__xludf.DUMMYFUNCTION("""COMPUTED_VALUE"""),"STPC")</f>
        <v>STPC</v>
      </c>
    </row>
    <row r="2273">
      <c r="A2273" s="1" t="str">
        <f>IFERROR(__xludf.DUMMYFUNCTION("""COMPUTED_VALUE"""),"STT")</f>
        <v>STT</v>
      </c>
    </row>
    <row r="2274">
      <c r="A2274" s="1" t="str">
        <f>IFERROR(__xludf.DUMMYFUNCTION("""COMPUTED_VALUE"""),"STVN")</f>
        <v>STVN</v>
      </c>
    </row>
    <row r="2275">
      <c r="A2275" s="1" t="str">
        <f>IFERROR(__xludf.DUMMYFUNCTION("""COMPUTED_VALUE"""),"STWD")</f>
        <v>STWD</v>
      </c>
    </row>
    <row r="2276">
      <c r="A2276" s="1" t="str">
        <f>IFERROR(__xludf.DUMMYFUNCTION("""COMPUTED_VALUE"""),"STZ")</f>
        <v>STZ</v>
      </c>
    </row>
    <row r="2277">
      <c r="A2277" s="1" t="str">
        <f>IFERROR(__xludf.DUMMYFUNCTION("""COMPUTED_VALUE"""),"SU")</f>
        <v>SU</v>
      </c>
    </row>
    <row r="2278">
      <c r="A2278" s="1" t="str">
        <f>IFERROR(__xludf.DUMMYFUNCTION("""COMPUTED_VALUE"""),"SUI")</f>
        <v>SUI</v>
      </c>
    </row>
    <row r="2279">
      <c r="A2279" s="1" t="str">
        <f>IFERROR(__xludf.DUMMYFUNCTION("""COMPUTED_VALUE"""),"SUM")</f>
        <v>SUM</v>
      </c>
    </row>
    <row r="2280">
      <c r="A2280" s="1" t="str">
        <f>IFERROR(__xludf.DUMMYFUNCTION("""COMPUTED_VALUE"""),"SUN")</f>
        <v>SUN</v>
      </c>
    </row>
    <row r="2281">
      <c r="A2281" s="1" t="str">
        <f>IFERROR(__xludf.DUMMYFUNCTION("""COMPUTED_VALUE"""),"SUNL")</f>
        <v>SUNL</v>
      </c>
    </row>
    <row r="2282">
      <c r="A2282" s="1" t="str">
        <f>IFERROR(__xludf.DUMMYFUNCTION("""COMPUTED_VALUE"""),"SUP")</f>
        <v>SUP</v>
      </c>
    </row>
    <row r="2283">
      <c r="A2283" s="1" t="str">
        <f>IFERROR(__xludf.DUMMYFUNCTION("""COMPUTED_VALUE"""),"SUPV")</f>
        <v>SUPV</v>
      </c>
    </row>
    <row r="2284">
      <c r="A2284" s="1" t="str">
        <f>IFERROR(__xludf.DUMMYFUNCTION("""COMPUTED_VALUE"""),"SUZ")</f>
        <v>SUZ</v>
      </c>
    </row>
    <row r="2285">
      <c r="A2285" s="1" t="str">
        <f>IFERROR(__xludf.DUMMYFUNCTION("""COMPUTED_VALUE"""),"SWBK")</f>
        <v>SWBK</v>
      </c>
    </row>
    <row r="2286">
      <c r="A2286" s="1" t="str">
        <f>IFERROR(__xludf.DUMMYFUNCTION("""COMPUTED_VALUE"""),"SWCH")</f>
        <v>SWCH</v>
      </c>
    </row>
    <row r="2287">
      <c r="A2287" s="1" t="str">
        <f>IFERROR(__xludf.DUMMYFUNCTION("""COMPUTED_VALUE"""),"SWI")</f>
        <v>SWI</v>
      </c>
    </row>
    <row r="2288">
      <c r="A2288" s="1" t="str">
        <f>IFERROR(__xludf.DUMMYFUNCTION("""COMPUTED_VALUE"""),"SWK")</f>
        <v>SWK</v>
      </c>
    </row>
    <row r="2289">
      <c r="A2289" s="1" t="str">
        <f>IFERROR(__xludf.DUMMYFUNCTION("""COMPUTED_VALUE"""),"SWM")</f>
        <v>SWM</v>
      </c>
    </row>
    <row r="2290">
      <c r="A2290" s="1" t="str">
        <f>IFERROR(__xludf.DUMMYFUNCTION("""COMPUTED_VALUE"""),"SWN")</f>
        <v>SWN</v>
      </c>
    </row>
    <row r="2291">
      <c r="A2291" s="1" t="str">
        <f>IFERROR(__xludf.DUMMYFUNCTION("""COMPUTED_VALUE"""),"SWT")</f>
        <v>SWT</v>
      </c>
    </row>
    <row r="2292">
      <c r="A2292" s="1" t="str">
        <f>IFERROR(__xludf.DUMMYFUNCTION("""COMPUTED_VALUE"""),"SWX")</f>
        <v>SWX</v>
      </c>
    </row>
    <row r="2293">
      <c r="A2293" s="1" t="str">
        <f>IFERROR(__xludf.DUMMYFUNCTION("""COMPUTED_VALUE"""),"SWZ")</f>
        <v>SWZ</v>
      </c>
    </row>
    <row r="2294">
      <c r="A2294" s="1" t="str">
        <f>IFERROR(__xludf.DUMMYFUNCTION("""COMPUTED_VALUE"""),"SXC")</f>
        <v>SXC</v>
      </c>
    </row>
    <row r="2295">
      <c r="A2295" s="1" t="str">
        <f>IFERROR(__xludf.DUMMYFUNCTION("""COMPUTED_VALUE"""),"SXI")</f>
        <v>SXI</v>
      </c>
    </row>
    <row r="2296">
      <c r="A2296" s="1" t="str">
        <f>IFERROR(__xludf.DUMMYFUNCTION("""COMPUTED_VALUE"""),"SXT")</f>
        <v>SXT</v>
      </c>
    </row>
    <row r="2297">
      <c r="A2297" s="1" t="str">
        <f>IFERROR(__xludf.DUMMYFUNCTION("""COMPUTED_VALUE"""),"SYF")</f>
        <v>SYF</v>
      </c>
    </row>
    <row r="2298">
      <c r="A2298" s="1" t="str">
        <f>IFERROR(__xludf.DUMMYFUNCTION("""COMPUTED_VALUE"""),"SYK")</f>
        <v>SYK</v>
      </c>
    </row>
    <row r="2299">
      <c r="A2299" s="1" t="str">
        <f>IFERROR(__xludf.DUMMYFUNCTION("""COMPUTED_VALUE"""),"SYY")</f>
        <v>SYY</v>
      </c>
    </row>
    <row r="2300">
      <c r="A2300" s="1" t="str">
        <f>IFERROR(__xludf.DUMMYFUNCTION("""COMPUTED_VALUE"""),"SZC")</f>
        <v>SZC</v>
      </c>
    </row>
    <row r="2301">
      <c r="A2301" s="1" t="str">
        <f>IFERROR(__xludf.DUMMYFUNCTION("""COMPUTED_VALUE"""),"T")</f>
        <v>T</v>
      </c>
    </row>
    <row r="2302">
      <c r="A2302" s="1" t="str">
        <f>IFERROR(__xludf.DUMMYFUNCTION("""COMPUTED_VALUE"""),"TAC")</f>
        <v>TAC</v>
      </c>
    </row>
    <row r="2303">
      <c r="A2303" s="1" t="str">
        <f>IFERROR(__xludf.DUMMYFUNCTION("""COMPUTED_VALUE"""),"TACA")</f>
        <v>TACA</v>
      </c>
    </row>
    <row r="2304">
      <c r="A2304" s="1" t="str">
        <f>IFERROR(__xludf.DUMMYFUNCTION("""COMPUTED_VALUE"""),"TAK")</f>
        <v>TAK</v>
      </c>
    </row>
    <row r="2305">
      <c r="A2305" s="1" t="str">
        <f>IFERROR(__xludf.DUMMYFUNCTION("""COMPUTED_VALUE"""),"TAL")</f>
        <v>TAL</v>
      </c>
    </row>
    <row r="2306">
      <c r="A2306" s="1" t="str">
        <f>IFERROR(__xludf.DUMMYFUNCTION("""COMPUTED_VALUE"""),"TALO")</f>
        <v>TALO</v>
      </c>
    </row>
    <row r="2307">
      <c r="A2307" s="1" t="str">
        <f>IFERROR(__xludf.DUMMYFUNCTION("""COMPUTED_VALUE"""),"TAP")</f>
        <v>TAP</v>
      </c>
    </row>
    <row r="2308">
      <c r="A2308" s="1" t="str">
        <f>IFERROR(__xludf.DUMMYFUNCTION("""COMPUTED_VALUE"""),"TARO")</f>
        <v>TARO</v>
      </c>
    </row>
    <row r="2309">
      <c r="A2309" s="1" t="str">
        <f>IFERROR(__xludf.DUMMYFUNCTION("""COMPUTED_VALUE"""),"TBB")</f>
        <v>TBB</v>
      </c>
    </row>
    <row r="2310">
      <c r="A2310" s="1" t="str">
        <f>IFERROR(__xludf.DUMMYFUNCTION("""COMPUTED_VALUE"""),"TBC")</f>
        <v>TBC</v>
      </c>
    </row>
    <row r="2311">
      <c r="A2311" s="1" t="str">
        <f>IFERROR(__xludf.DUMMYFUNCTION("""COMPUTED_VALUE"""),"TBI")</f>
        <v>TBI</v>
      </c>
    </row>
    <row r="2312">
      <c r="A2312" s="1" t="str">
        <f>IFERROR(__xludf.DUMMYFUNCTION("""COMPUTED_VALUE"""),"TCI")</f>
        <v>TCI</v>
      </c>
    </row>
    <row r="2313">
      <c r="A2313" s="1" t="str">
        <f>IFERROR(__xludf.DUMMYFUNCTION("""COMPUTED_VALUE"""),"TCS")</f>
        <v>TCS</v>
      </c>
    </row>
    <row r="2314">
      <c r="A2314" s="1" t="str">
        <f>IFERROR(__xludf.DUMMYFUNCTION("""COMPUTED_VALUE"""),"TD")</f>
        <v>TD</v>
      </c>
    </row>
    <row r="2315">
      <c r="A2315" s="1" t="str">
        <f>IFERROR(__xludf.DUMMYFUNCTION("""COMPUTED_VALUE"""),"TDA")</f>
        <v>TDA</v>
      </c>
    </row>
    <row r="2316">
      <c r="A2316" s="1" t="str">
        <f>IFERROR(__xludf.DUMMYFUNCTION("""COMPUTED_VALUE"""),"TDC")</f>
        <v>TDC</v>
      </c>
    </row>
    <row r="2317">
      <c r="A2317" s="1" t="str">
        <f>IFERROR(__xludf.DUMMYFUNCTION("""COMPUTED_VALUE"""),"TDF")</f>
        <v>TDF</v>
      </c>
    </row>
    <row r="2318">
      <c r="A2318" s="1" t="str">
        <f>IFERROR(__xludf.DUMMYFUNCTION("""COMPUTED_VALUE"""),"TDG")</f>
        <v>TDG</v>
      </c>
    </row>
    <row r="2319">
      <c r="A2319" s="1" t="str">
        <f>IFERROR(__xludf.DUMMYFUNCTION("""COMPUTED_VALUE"""),"TDI")</f>
        <v>TDI</v>
      </c>
    </row>
    <row r="2320">
      <c r="A2320" s="1" t="str">
        <f>IFERROR(__xludf.DUMMYFUNCTION("""COMPUTED_VALUE"""),"TDOC")</f>
        <v>TDOC</v>
      </c>
    </row>
    <row r="2321">
      <c r="A2321" s="1" t="str">
        <f>IFERROR(__xludf.DUMMYFUNCTION("""COMPUTED_VALUE"""),"TDS")</f>
        <v>TDS</v>
      </c>
    </row>
    <row r="2322">
      <c r="A2322" s="1" t="str">
        <f>IFERROR(__xludf.DUMMYFUNCTION("""COMPUTED_VALUE"""),"TDW")</f>
        <v>TDW</v>
      </c>
    </row>
    <row r="2323">
      <c r="A2323" s="1" t="str">
        <f>IFERROR(__xludf.DUMMYFUNCTION("""COMPUTED_VALUE"""),"TDY")</f>
        <v>TDY</v>
      </c>
    </row>
    <row r="2324">
      <c r="A2324" s="1" t="str">
        <f>IFERROR(__xludf.DUMMYFUNCTION("""COMPUTED_VALUE"""),"TEAF")</f>
        <v>TEAF</v>
      </c>
    </row>
    <row r="2325">
      <c r="A2325" s="1" t="str">
        <f>IFERROR(__xludf.DUMMYFUNCTION("""COMPUTED_VALUE"""),"TECK")</f>
        <v>TECK</v>
      </c>
    </row>
    <row r="2326">
      <c r="A2326" s="1" t="str">
        <f>IFERROR(__xludf.DUMMYFUNCTION("""COMPUTED_VALUE"""),"TEF")</f>
        <v>TEF</v>
      </c>
    </row>
    <row r="2327">
      <c r="A2327" s="1" t="str">
        <f>IFERROR(__xludf.DUMMYFUNCTION("""COMPUTED_VALUE"""),"TEI")</f>
        <v>TEI</v>
      </c>
    </row>
    <row r="2328">
      <c r="A2328" s="1" t="str">
        <f>IFERROR(__xludf.DUMMYFUNCTION("""COMPUTED_VALUE"""),"TEL")</f>
        <v>TEL</v>
      </c>
    </row>
    <row r="2329">
      <c r="A2329" s="1" t="str">
        <f>IFERROR(__xludf.DUMMYFUNCTION("""COMPUTED_VALUE"""),"TEN")</f>
        <v>TEN</v>
      </c>
    </row>
    <row r="2330">
      <c r="A2330" s="1" t="str">
        <f>IFERROR(__xludf.DUMMYFUNCTION("""COMPUTED_VALUE"""),"TEO")</f>
        <v>TEO</v>
      </c>
    </row>
    <row r="2331">
      <c r="A2331" s="1" t="str">
        <f>IFERROR(__xludf.DUMMYFUNCTION("""COMPUTED_VALUE"""),"TEVA")</f>
        <v>TEVA</v>
      </c>
    </row>
    <row r="2332">
      <c r="A2332" s="1" t="str">
        <f>IFERROR(__xludf.DUMMYFUNCTION("""COMPUTED_VALUE"""),"TEX")</f>
        <v>TEX</v>
      </c>
    </row>
    <row r="2333">
      <c r="A2333" s="1" t="str">
        <f>IFERROR(__xludf.DUMMYFUNCTION("""COMPUTED_VALUE"""),"TFC")</f>
        <v>TFC</v>
      </c>
    </row>
    <row r="2334">
      <c r="A2334" s="1" t="str">
        <f>IFERROR(__xludf.DUMMYFUNCTION("""COMPUTED_VALUE"""),"TFII")</f>
        <v>TFII</v>
      </c>
    </row>
    <row r="2335">
      <c r="A2335" s="1" t="str">
        <f>IFERROR(__xludf.DUMMYFUNCTION("""COMPUTED_VALUE"""),"TFSA")</f>
        <v>TFSA</v>
      </c>
    </row>
    <row r="2336">
      <c r="A2336" s="1" t="str">
        <f>IFERROR(__xludf.DUMMYFUNCTION("""COMPUTED_VALUE"""),"TFX")</f>
        <v>TFX</v>
      </c>
    </row>
    <row r="2337">
      <c r="A2337" s="1" t="str">
        <f>IFERROR(__xludf.DUMMYFUNCTION("""COMPUTED_VALUE"""),"TG")</f>
        <v>TG</v>
      </c>
    </row>
    <row r="2338">
      <c r="A2338" s="1" t="str">
        <f>IFERROR(__xludf.DUMMYFUNCTION("""COMPUTED_VALUE"""),"TGH")</f>
        <v>TGH</v>
      </c>
    </row>
    <row r="2339">
      <c r="A2339" s="1" t="str">
        <f>IFERROR(__xludf.DUMMYFUNCTION("""COMPUTED_VALUE"""),"TGI")</f>
        <v>TGI</v>
      </c>
    </row>
    <row r="2340">
      <c r="A2340" s="1" t="str">
        <f>IFERROR(__xludf.DUMMYFUNCTION("""COMPUTED_VALUE"""),"TGNA")</f>
        <v>TGNA</v>
      </c>
    </row>
    <row r="2341">
      <c r="A2341" s="1" t="str">
        <f>IFERROR(__xludf.DUMMYFUNCTION("""COMPUTED_VALUE"""),"TGP")</f>
        <v>TGP</v>
      </c>
    </row>
    <row r="2342">
      <c r="A2342" s="1" t="str">
        <f>IFERROR(__xludf.DUMMYFUNCTION("""COMPUTED_VALUE"""),"TGS")</f>
        <v>TGS</v>
      </c>
    </row>
    <row r="2343">
      <c r="A2343" s="1" t="str">
        <f>IFERROR(__xludf.DUMMYFUNCTION("""COMPUTED_VALUE"""),"TGT")</f>
        <v>TGT</v>
      </c>
    </row>
    <row r="2344">
      <c r="A2344" s="1" t="str">
        <f>IFERROR(__xludf.DUMMYFUNCTION("""COMPUTED_VALUE"""),"THC")</f>
        <v>THC</v>
      </c>
    </row>
    <row r="2345">
      <c r="A2345" s="1" t="str">
        <f>IFERROR(__xludf.DUMMYFUNCTION("""COMPUTED_VALUE"""),"THG")</f>
        <v>THG</v>
      </c>
    </row>
    <row r="2346">
      <c r="A2346" s="1" t="str">
        <f>IFERROR(__xludf.DUMMYFUNCTION("""COMPUTED_VALUE"""),"THO")</f>
        <v>THO</v>
      </c>
    </row>
    <row r="2347">
      <c r="A2347" s="1" t="str">
        <f>IFERROR(__xludf.DUMMYFUNCTION("""COMPUTED_VALUE"""),"THQ")</f>
        <v>THQ</v>
      </c>
    </row>
    <row r="2348">
      <c r="A2348" s="1" t="str">
        <f>IFERROR(__xludf.DUMMYFUNCTION("""COMPUTED_VALUE"""),"THR")</f>
        <v>THR</v>
      </c>
    </row>
    <row r="2349">
      <c r="A2349" s="1" t="str">
        <f>IFERROR(__xludf.DUMMYFUNCTION("""COMPUTED_VALUE"""),"THS")</f>
        <v>THS</v>
      </c>
    </row>
    <row r="2350">
      <c r="A2350" s="1" t="str">
        <f>IFERROR(__xludf.DUMMYFUNCTION("""COMPUTED_VALUE"""),"THW")</f>
        <v>THW</v>
      </c>
    </row>
    <row r="2351">
      <c r="A2351" s="1" t="str">
        <f>IFERROR(__xludf.DUMMYFUNCTION("""COMPUTED_VALUE"""),"TIMB")</f>
        <v>TIMB</v>
      </c>
    </row>
    <row r="2352">
      <c r="A2352" s="1" t="str">
        <f>IFERROR(__xludf.DUMMYFUNCTION("""COMPUTED_VALUE"""),"TINV")</f>
        <v>TINV</v>
      </c>
    </row>
    <row r="2353">
      <c r="A2353" s="1" t="str">
        <f>IFERROR(__xludf.DUMMYFUNCTION("""COMPUTED_VALUE"""),"TISI")</f>
        <v>TISI</v>
      </c>
    </row>
    <row r="2354">
      <c r="A2354" s="1" t="str">
        <f>IFERROR(__xludf.DUMMYFUNCTION("""COMPUTED_VALUE"""),"TIXT")</f>
        <v>TIXT</v>
      </c>
    </row>
    <row r="2355">
      <c r="A2355" s="1" t="str">
        <f>IFERROR(__xludf.DUMMYFUNCTION("""COMPUTED_VALUE"""),"TJX")</f>
        <v>TJX</v>
      </c>
    </row>
    <row r="2356">
      <c r="A2356" s="1" t="str">
        <f>IFERROR(__xludf.DUMMYFUNCTION("""COMPUTED_VALUE"""),"TK")</f>
        <v>TK</v>
      </c>
    </row>
    <row r="2357">
      <c r="A2357" s="1" t="str">
        <f>IFERROR(__xludf.DUMMYFUNCTION("""COMPUTED_VALUE"""),"TKC")</f>
        <v>TKC</v>
      </c>
    </row>
    <row r="2358">
      <c r="A2358" s="1" t="str">
        <f>IFERROR(__xludf.DUMMYFUNCTION("""COMPUTED_VALUE"""),"TKR")</f>
        <v>TKR</v>
      </c>
    </row>
    <row r="2359">
      <c r="A2359" s="1" t="str">
        <f>IFERROR(__xludf.DUMMYFUNCTION("""COMPUTED_VALUE"""),"TLGA")</f>
        <v>TLGA</v>
      </c>
    </row>
    <row r="2360">
      <c r="A2360" s="1" t="str">
        <f>IFERROR(__xludf.DUMMYFUNCTION("""COMPUTED_VALUE"""),"TLK")</f>
        <v>TLK</v>
      </c>
    </row>
    <row r="2361">
      <c r="A2361" s="1" t="str">
        <f>IFERROR(__xludf.DUMMYFUNCTION("""COMPUTED_VALUE"""),"TLYS")</f>
        <v>TLYS</v>
      </c>
    </row>
    <row r="2362">
      <c r="A2362" s="1" t="str">
        <f>IFERROR(__xludf.DUMMYFUNCTION("""COMPUTED_VALUE"""),"TM")</f>
        <v>TM</v>
      </c>
    </row>
    <row r="2363">
      <c r="A2363" s="1" t="str">
        <f>IFERROR(__xludf.DUMMYFUNCTION("""COMPUTED_VALUE"""),"TMAC")</f>
        <v>TMAC</v>
      </c>
    </row>
    <row r="2364">
      <c r="A2364" s="1" t="str">
        <f>IFERROR(__xludf.DUMMYFUNCTION("""COMPUTED_VALUE"""),"TME")</f>
        <v>TME</v>
      </c>
    </row>
    <row r="2365">
      <c r="A2365" s="1" t="str">
        <f>IFERROR(__xludf.DUMMYFUNCTION("""COMPUTED_VALUE"""),"TMHC")</f>
        <v>TMHC</v>
      </c>
    </row>
    <row r="2366">
      <c r="A2366" s="1" t="str">
        <f>IFERROR(__xludf.DUMMYFUNCTION("""COMPUTED_VALUE"""),"TMO")</f>
        <v>TMO</v>
      </c>
    </row>
    <row r="2367">
      <c r="A2367" s="1" t="str">
        <f>IFERROR(__xludf.DUMMYFUNCTION("""COMPUTED_VALUE"""),"TMST")</f>
        <v>TMST</v>
      </c>
    </row>
    <row r="2368">
      <c r="A2368" s="1" t="str">
        <f>IFERROR(__xludf.DUMMYFUNCTION("""COMPUTED_VALUE"""),"TMX")</f>
        <v>TMX</v>
      </c>
    </row>
    <row r="2369">
      <c r="A2369" s="1" t="str">
        <f>IFERROR(__xludf.DUMMYFUNCTION("""COMPUTED_VALUE"""),"TNC")</f>
        <v>TNC</v>
      </c>
    </row>
    <row r="2370">
      <c r="A2370" s="1" t="str">
        <f>IFERROR(__xludf.DUMMYFUNCTION("""COMPUTED_VALUE"""),"TNET")</f>
        <v>TNET</v>
      </c>
    </row>
    <row r="2371">
      <c r="A2371" s="1" t="str">
        <f>IFERROR(__xludf.DUMMYFUNCTION("""COMPUTED_VALUE"""),"TNK")</f>
        <v>TNK</v>
      </c>
    </row>
    <row r="2372">
      <c r="A2372" s="1" t="str">
        <f>IFERROR(__xludf.DUMMYFUNCTION("""COMPUTED_VALUE"""),"TNL")</f>
        <v>TNL</v>
      </c>
    </row>
    <row r="2373">
      <c r="A2373" s="1" t="str">
        <f>IFERROR(__xludf.DUMMYFUNCTION("""COMPUTED_VALUE"""),"TNP")</f>
        <v>TNP</v>
      </c>
    </row>
    <row r="2374">
      <c r="A2374" s="1" t="str">
        <f>IFERROR(__xludf.DUMMYFUNCTION("""COMPUTED_VALUE"""),"TOL")</f>
        <v>TOL</v>
      </c>
    </row>
    <row r="2375">
      <c r="A2375" s="1" t="str">
        <f>IFERROR(__xludf.DUMMYFUNCTION("""COMPUTED_VALUE"""),"TPB")</f>
        <v>TPB</v>
      </c>
    </row>
    <row r="2376">
      <c r="A2376" s="1" t="str">
        <f>IFERROR(__xludf.DUMMYFUNCTION("""COMPUTED_VALUE"""),"TPC")</f>
        <v>TPC</v>
      </c>
    </row>
    <row r="2377">
      <c r="A2377" s="1" t="str">
        <f>IFERROR(__xludf.DUMMYFUNCTION("""COMPUTED_VALUE"""),"TPGS")</f>
        <v>TPGS</v>
      </c>
    </row>
    <row r="2378">
      <c r="A2378" s="1" t="str">
        <f>IFERROR(__xludf.DUMMYFUNCTION("""COMPUTED_VALUE"""),"TPGY")</f>
        <v>TPGY</v>
      </c>
    </row>
    <row r="2379">
      <c r="A2379" s="1" t="str">
        <f>IFERROR(__xludf.DUMMYFUNCTION("""COMPUTED_VALUE"""),"TPH")</f>
        <v>TPH</v>
      </c>
    </row>
    <row r="2380">
      <c r="A2380" s="1" t="str">
        <f>IFERROR(__xludf.DUMMYFUNCTION("""COMPUTED_VALUE"""),"TPL")</f>
        <v>TPL</v>
      </c>
    </row>
    <row r="2381">
      <c r="A2381" s="1" t="str">
        <f>IFERROR(__xludf.DUMMYFUNCTION("""COMPUTED_VALUE"""),"TPR")</f>
        <v>TPR</v>
      </c>
    </row>
    <row r="2382">
      <c r="A2382" s="1" t="str">
        <f>IFERROR(__xludf.DUMMYFUNCTION("""COMPUTED_VALUE"""),"TPTA")</f>
        <v>TPTA</v>
      </c>
    </row>
    <row r="2383">
      <c r="A2383" s="1" t="str">
        <f>IFERROR(__xludf.DUMMYFUNCTION("""COMPUTED_VALUE"""),"TPVG")</f>
        <v>TPVG</v>
      </c>
    </row>
    <row r="2384">
      <c r="A2384" s="1" t="str">
        <f>IFERROR(__xludf.DUMMYFUNCTION("""COMPUTED_VALUE"""),"TPX")</f>
        <v>TPX</v>
      </c>
    </row>
    <row r="2385">
      <c r="A2385" s="1" t="str">
        <f>IFERROR(__xludf.DUMMYFUNCTION("""COMPUTED_VALUE"""),"TPZ")</f>
        <v>TPZ</v>
      </c>
    </row>
    <row r="2386">
      <c r="A2386" s="1" t="str">
        <f>IFERROR(__xludf.DUMMYFUNCTION("""COMPUTED_VALUE"""),"TR")</f>
        <v>TR</v>
      </c>
    </row>
    <row r="2387">
      <c r="A2387" s="1" t="str">
        <f>IFERROR(__xludf.DUMMYFUNCTION("""COMPUTED_VALUE"""),"TRC")</f>
        <v>TRC</v>
      </c>
    </row>
    <row r="2388">
      <c r="A2388" s="1" t="str">
        <f>IFERROR(__xludf.DUMMYFUNCTION("""COMPUTED_VALUE"""),"TRCA")</f>
        <v>TRCA</v>
      </c>
    </row>
    <row r="2389">
      <c r="A2389" s="1" t="str">
        <f>IFERROR(__xludf.DUMMYFUNCTION("""COMPUTED_VALUE"""),"TREB")</f>
        <v>TREB</v>
      </c>
    </row>
    <row r="2390">
      <c r="A2390" s="1" t="str">
        <f>IFERROR(__xludf.DUMMYFUNCTION("""COMPUTED_VALUE"""),"TREC")</f>
        <v>TREC</v>
      </c>
    </row>
    <row r="2391">
      <c r="A2391" s="1" t="str">
        <f>IFERROR(__xludf.DUMMYFUNCTION("""COMPUTED_VALUE"""),"TREX")</f>
        <v>TREX</v>
      </c>
    </row>
    <row r="2392">
      <c r="A2392" s="1" t="str">
        <f>IFERROR(__xludf.DUMMYFUNCTION("""COMPUTED_VALUE"""),"TRGP")</f>
        <v>TRGP</v>
      </c>
    </row>
    <row r="2393">
      <c r="A2393" s="1" t="str">
        <f>IFERROR(__xludf.DUMMYFUNCTION("""COMPUTED_VALUE"""),"TRI")</f>
        <v>TRI</v>
      </c>
    </row>
    <row r="2394">
      <c r="A2394" s="1" t="str">
        <f>IFERROR(__xludf.DUMMYFUNCTION("""COMPUTED_VALUE"""),"TRN")</f>
        <v>TRN</v>
      </c>
    </row>
    <row r="2395">
      <c r="A2395" s="1" t="str">
        <f>IFERROR(__xludf.DUMMYFUNCTION("""COMPUTED_VALUE"""),"TRNO")</f>
        <v>TRNO</v>
      </c>
    </row>
    <row r="2396">
      <c r="A2396" s="1" t="str">
        <f>IFERROR(__xludf.DUMMYFUNCTION("""COMPUTED_VALUE"""),"TROX")</f>
        <v>TROX</v>
      </c>
    </row>
    <row r="2397">
      <c r="A2397" s="1" t="str">
        <f>IFERROR(__xludf.DUMMYFUNCTION("""COMPUTED_VALUE"""),"TRP")</f>
        <v>TRP</v>
      </c>
    </row>
    <row r="2398">
      <c r="A2398" s="1" t="str">
        <f>IFERROR(__xludf.DUMMYFUNCTION("""COMPUTED_VALUE"""),"TRQ")</f>
        <v>TRQ</v>
      </c>
    </row>
    <row r="2399">
      <c r="A2399" s="1" t="str">
        <f>IFERROR(__xludf.DUMMYFUNCTION("""COMPUTED_VALUE"""),"TRTN")</f>
        <v>TRTN</v>
      </c>
    </row>
    <row r="2400">
      <c r="A2400" s="1" t="str">
        <f>IFERROR(__xludf.DUMMYFUNCTION("""COMPUTED_VALUE"""),"TRTX")</f>
        <v>TRTX</v>
      </c>
    </row>
    <row r="2401">
      <c r="A2401" s="1" t="str">
        <f>IFERROR(__xludf.DUMMYFUNCTION("""COMPUTED_VALUE"""),"TRU")</f>
        <v>TRU</v>
      </c>
    </row>
    <row r="2402">
      <c r="A2402" s="1" t="str">
        <f>IFERROR(__xludf.DUMMYFUNCTION("""COMPUTED_VALUE"""),"TRV")</f>
        <v>TRV</v>
      </c>
    </row>
    <row r="2403">
      <c r="A2403" s="1" t="str">
        <f>IFERROR(__xludf.DUMMYFUNCTION("""COMPUTED_VALUE"""),"TS")</f>
        <v>TS</v>
      </c>
    </row>
    <row r="2404">
      <c r="A2404" s="1" t="str">
        <f>IFERROR(__xludf.DUMMYFUNCTION("""COMPUTED_VALUE"""),"TSE")</f>
        <v>TSE</v>
      </c>
    </row>
    <row r="2405">
      <c r="A2405" s="1" t="str">
        <f>IFERROR(__xludf.DUMMYFUNCTION("""COMPUTED_VALUE"""),"TSI")</f>
        <v>TSI</v>
      </c>
    </row>
    <row r="2406">
      <c r="A2406" s="1" t="str">
        <f>IFERROR(__xludf.DUMMYFUNCTION("""COMPUTED_VALUE"""),"TSLX")</f>
        <v>TSLX</v>
      </c>
    </row>
    <row r="2407">
      <c r="A2407" s="1" t="str">
        <f>IFERROR(__xludf.DUMMYFUNCTION("""COMPUTED_VALUE"""),"TSM")</f>
        <v>TSM</v>
      </c>
    </row>
    <row r="2408">
      <c r="A2408" s="1" t="str">
        <f>IFERROR(__xludf.DUMMYFUNCTION("""COMPUTED_VALUE"""),"TSN")</f>
        <v>TSN</v>
      </c>
    </row>
    <row r="2409">
      <c r="A2409" s="1" t="str">
        <f>IFERROR(__xludf.DUMMYFUNCTION("""COMPUTED_VALUE"""),"TSPQ")</f>
        <v>TSPQ</v>
      </c>
    </row>
    <row r="2410">
      <c r="A2410" s="1" t="str">
        <f>IFERROR(__xludf.DUMMYFUNCTION("""COMPUTED_VALUE"""),"TSQ")</f>
        <v>TSQ</v>
      </c>
    </row>
    <row r="2411">
      <c r="A2411" s="1" t="str">
        <f>IFERROR(__xludf.DUMMYFUNCTION("""COMPUTED_VALUE"""),"TT")</f>
        <v>TT</v>
      </c>
    </row>
    <row r="2412">
      <c r="A2412" s="1" t="str">
        <f>IFERROR(__xludf.DUMMYFUNCTION("""COMPUTED_VALUE"""),"TTC")</f>
        <v>TTC</v>
      </c>
    </row>
    <row r="2413">
      <c r="A2413" s="1" t="str">
        <f>IFERROR(__xludf.DUMMYFUNCTION("""COMPUTED_VALUE"""),"TTE")</f>
        <v>TTE</v>
      </c>
    </row>
    <row r="2414">
      <c r="A2414" s="1" t="str">
        <f>IFERROR(__xludf.DUMMYFUNCTION("""COMPUTED_VALUE"""),"TTI")</f>
        <v>TTI</v>
      </c>
    </row>
    <row r="2415">
      <c r="A2415" s="1" t="str">
        <f>IFERROR(__xludf.DUMMYFUNCTION("""COMPUTED_VALUE"""),"TTM")</f>
        <v>TTM</v>
      </c>
    </row>
    <row r="2416">
      <c r="A2416" s="1" t="str">
        <f>IFERROR(__xludf.DUMMYFUNCTION("""COMPUTED_VALUE"""),"TTP")</f>
        <v>TTP</v>
      </c>
    </row>
    <row r="2417">
      <c r="A2417" s="1" t="str">
        <f>IFERROR(__xludf.DUMMYFUNCTION("""COMPUTED_VALUE"""),"TU")</f>
        <v>TU</v>
      </c>
    </row>
    <row r="2418">
      <c r="A2418" s="1" t="str">
        <f>IFERROR(__xludf.DUMMYFUNCTION("""COMPUTED_VALUE"""),"TUFN")</f>
        <v>TUFN</v>
      </c>
    </row>
    <row r="2419">
      <c r="A2419" s="1" t="str">
        <f>IFERROR(__xludf.DUMMYFUNCTION("""COMPUTED_VALUE"""),"TUP")</f>
        <v>TUP</v>
      </c>
    </row>
    <row r="2420">
      <c r="A2420" s="1" t="str">
        <f>IFERROR(__xludf.DUMMYFUNCTION("""COMPUTED_VALUE"""),"TUYA")</f>
        <v>TUYA</v>
      </c>
    </row>
    <row r="2421">
      <c r="A2421" s="1" t="str">
        <f>IFERROR(__xludf.DUMMYFUNCTION("""COMPUTED_VALUE"""),"TV")</f>
        <v>TV</v>
      </c>
    </row>
    <row r="2422">
      <c r="A2422" s="1" t="str">
        <f>IFERROR(__xludf.DUMMYFUNCTION("""COMPUTED_VALUE"""),"TVC")</f>
        <v>TVC</v>
      </c>
    </row>
    <row r="2423">
      <c r="A2423" s="1" t="str">
        <f>IFERROR(__xludf.DUMMYFUNCTION("""COMPUTED_VALUE"""),"TVE")</f>
        <v>TVE</v>
      </c>
    </row>
    <row r="2424">
      <c r="A2424" s="1" t="str">
        <f>IFERROR(__xludf.DUMMYFUNCTION("""COMPUTED_VALUE"""),"TWI")</f>
        <v>TWI</v>
      </c>
    </row>
    <row r="2425">
      <c r="A2425" s="1" t="str">
        <f>IFERROR(__xludf.DUMMYFUNCTION("""COMPUTED_VALUE"""),"TWLO")</f>
        <v>TWLO</v>
      </c>
    </row>
    <row r="2426">
      <c r="A2426" s="1" t="str">
        <f>IFERROR(__xludf.DUMMYFUNCTION("""COMPUTED_VALUE"""),"TWN")</f>
        <v>TWN</v>
      </c>
    </row>
    <row r="2427">
      <c r="A2427" s="1" t="str">
        <f>IFERROR(__xludf.DUMMYFUNCTION("""COMPUTED_VALUE"""),"TWND")</f>
        <v>TWND</v>
      </c>
    </row>
    <row r="2428">
      <c r="A2428" s="1" t="str">
        <f>IFERROR(__xludf.DUMMYFUNCTION("""COMPUTED_VALUE"""),"TWNI")</f>
        <v>TWNI</v>
      </c>
    </row>
    <row r="2429">
      <c r="A2429" s="1" t="str">
        <f>IFERROR(__xludf.DUMMYFUNCTION("""COMPUTED_VALUE"""),"TWNT")</f>
        <v>TWNT</v>
      </c>
    </row>
    <row r="2430">
      <c r="A2430" s="1" t="str">
        <f>IFERROR(__xludf.DUMMYFUNCTION("""COMPUTED_VALUE"""),"TWO")</f>
        <v>TWO</v>
      </c>
    </row>
    <row r="2431">
      <c r="A2431" s="1" t="str">
        <f>IFERROR(__xludf.DUMMYFUNCTION("""COMPUTED_VALUE"""),"TWOA")</f>
        <v>TWOA</v>
      </c>
    </row>
    <row r="2432">
      <c r="A2432" s="1" t="str">
        <f>IFERROR(__xludf.DUMMYFUNCTION("""COMPUTED_VALUE"""),"TWTR")</f>
        <v>TWTR</v>
      </c>
    </row>
    <row r="2433">
      <c r="A2433" s="1" t="str">
        <f>IFERROR(__xludf.DUMMYFUNCTION("""COMPUTED_VALUE"""),"TX")</f>
        <v>TX</v>
      </c>
    </row>
    <row r="2434">
      <c r="A2434" s="1" t="str">
        <f>IFERROR(__xludf.DUMMYFUNCTION("""COMPUTED_VALUE"""),"TXT")</f>
        <v>TXT</v>
      </c>
    </row>
    <row r="2435">
      <c r="A2435" s="1" t="str">
        <f>IFERROR(__xludf.DUMMYFUNCTION("""COMPUTED_VALUE"""),"TY")</f>
        <v>TY</v>
      </c>
    </row>
    <row r="2436">
      <c r="A2436" s="1" t="str">
        <f>IFERROR(__xludf.DUMMYFUNCTION("""COMPUTED_VALUE"""),"TYG")</f>
        <v>TYG</v>
      </c>
    </row>
    <row r="2437">
      <c r="A2437" s="1" t="str">
        <f>IFERROR(__xludf.DUMMYFUNCTION("""COMPUTED_VALUE"""),"TYL")</f>
        <v>TYL</v>
      </c>
    </row>
    <row r="2438">
      <c r="A2438" s="1" t="str">
        <f>IFERROR(__xludf.DUMMYFUNCTION("""COMPUTED_VALUE"""),"U")</f>
        <v>U</v>
      </c>
    </row>
    <row r="2439">
      <c r="A2439" s="1" t="str">
        <f>IFERROR(__xludf.DUMMYFUNCTION("""COMPUTED_VALUE"""),"UA")</f>
        <v>UA</v>
      </c>
    </row>
    <row r="2440">
      <c r="A2440" s="1" t="str">
        <f>IFERROR(__xludf.DUMMYFUNCTION("""COMPUTED_VALUE"""),"UAA")</f>
        <v>UAA</v>
      </c>
    </row>
    <row r="2441">
      <c r="A2441" s="1" t="str">
        <f>IFERROR(__xludf.DUMMYFUNCTION("""COMPUTED_VALUE"""),"UAN")</f>
        <v>UAN</v>
      </c>
    </row>
    <row r="2442">
      <c r="A2442" s="1" t="str">
        <f>IFERROR(__xludf.DUMMYFUNCTION("""COMPUTED_VALUE"""),"UBA")</f>
        <v>UBA</v>
      </c>
    </row>
    <row r="2443">
      <c r="A2443" s="1" t="str">
        <f>IFERROR(__xludf.DUMMYFUNCTION("""COMPUTED_VALUE"""),"UBER")</f>
        <v>UBER</v>
      </c>
    </row>
    <row r="2444">
      <c r="A2444" s="1" t="str">
        <f>IFERROR(__xludf.DUMMYFUNCTION("""COMPUTED_VALUE"""),"UBP")</f>
        <v>UBP</v>
      </c>
    </row>
    <row r="2445">
      <c r="A2445" s="1" t="str">
        <f>IFERROR(__xludf.DUMMYFUNCTION("""COMPUTED_VALUE"""),"UBS")</f>
        <v>UBS</v>
      </c>
    </row>
    <row r="2446">
      <c r="A2446" s="1" t="str">
        <f>IFERROR(__xludf.DUMMYFUNCTION("""COMPUTED_VALUE"""),"UDR")</f>
        <v>UDR</v>
      </c>
    </row>
    <row r="2447">
      <c r="A2447" s="1" t="str">
        <f>IFERROR(__xludf.DUMMYFUNCTION("""COMPUTED_VALUE"""),"UE")</f>
        <v>UE</v>
      </c>
    </row>
    <row r="2448">
      <c r="A2448" s="1" t="str">
        <f>IFERROR(__xludf.DUMMYFUNCTION("""COMPUTED_VALUE"""),"UFI")</f>
        <v>UFI</v>
      </c>
    </row>
    <row r="2449">
      <c r="A2449" s="1" t="str">
        <f>IFERROR(__xludf.DUMMYFUNCTION("""COMPUTED_VALUE"""),"UFS")</f>
        <v>UFS</v>
      </c>
    </row>
    <row r="2450">
      <c r="A2450" s="1" t="str">
        <f>IFERROR(__xludf.DUMMYFUNCTION("""COMPUTED_VALUE"""),"UGI")</f>
        <v>UGI</v>
      </c>
    </row>
    <row r="2451">
      <c r="A2451" s="1" t="str">
        <f>IFERROR(__xludf.DUMMYFUNCTION("""COMPUTED_VALUE"""),"UGIC")</f>
        <v>UGIC</v>
      </c>
    </row>
    <row r="2452">
      <c r="A2452" s="1" t="str">
        <f>IFERROR(__xludf.DUMMYFUNCTION("""COMPUTED_VALUE"""),"UGP")</f>
        <v>UGP</v>
      </c>
    </row>
    <row r="2453">
      <c r="A2453" s="1" t="str">
        <f>IFERROR(__xludf.DUMMYFUNCTION("""COMPUTED_VALUE"""),"UHS")</f>
        <v>UHS</v>
      </c>
    </row>
    <row r="2454">
      <c r="A2454" s="1" t="str">
        <f>IFERROR(__xludf.DUMMYFUNCTION("""COMPUTED_VALUE"""),"UHT")</f>
        <v>UHT</v>
      </c>
    </row>
    <row r="2455">
      <c r="A2455" s="1" t="str">
        <f>IFERROR(__xludf.DUMMYFUNCTION("""COMPUTED_VALUE"""),"UI")</f>
        <v>UI</v>
      </c>
    </row>
    <row r="2456">
      <c r="A2456" s="1" t="str">
        <f>IFERROR(__xludf.DUMMYFUNCTION("""COMPUTED_VALUE"""),"UIS")</f>
        <v>UIS</v>
      </c>
    </row>
    <row r="2457">
      <c r="A2457" s="1" t="str">
        <f>IFERROR(__xludf.DUMMYFUNCTION("""COMPUTED_VALUE"""),"UL")</f>
        <v>UL</v>
      </c>
    </row>
    <row r="2458">
      <c r="A2458" s="1" t="str">
        <f>IFERROR(__xludf.DUMMYFUNCTION("""COMPUTED_VALUE"""),"UMC")</f>
        <v>UMC</v>
      </c>
    </row>
    <row r="2459">
      <c r="A2459" s="1" t="str">
        <f>IFERROR(__xludf.DUMMYFUNCTION("""COMPUTED_VALUE"""),"UMH")</f>
        <v>UMH</v>
      </c>
    </row>
    <row r="2460">
      <c r="A2460" s="1" t="str">
        <f>IFERROR(__xludf.DUMMYFUNCTION("""COMPUTED_VALUE"""),"UNF")</f>
        <v>UNF</v>
      </c>
    </row>
    <row r="2461">
      <c r="A2461" s="1" t="str">
        <f>IFERROR(__xludf.DUMMYFUNCTION("""COMPUTED_VALUE"""),"UNFI")</f>
        <v>UNFI</v>
      </c>
    </row>
    <row r="2462">
      <c r="A2462" s="1" t="str">
        <f>IFERROR(__xludf.DUMMYFUNCTION("""COMPUTED_VALUE"""),"UNH")</f>
        <v>UNH</v>
      </c>
    </row>
    <row r="2463">
      <c r="A2463" s="1" t="str">
        <f>IFERROR(__xludf.DUMMYFUNCTION("""COMPUTED_VALUE"""),"UNM")</f>
        <v>UNM</v>
      </c>
    </row>
    <row r="2464">
      <c r="A2464" s="1" t="str">
        <f>IFERROR(__xludf.DUMMYFUNCTION("""COMPUTED_VALUE"""),"UNMA")</f>
        <v>UNMA</v>
      </c>
    </row>
    <row r="2465">
      <c r="A2465" s="1" t="str">
        <f>IFERROR(__xludf.DUMMYFUNCTION("""COMPUTED_VALUE"""),"UNP")</f>
        <v>UNP</v>
      </c>
    </row>
    <row r="2466">
      <c r="A2466" s="1" t="str">
        <f>IFERROR(__xludf.DUMMYFUNCTION("""COMPUTED_VALUE"""),"UNVR")</f>
        <v>UNVR</v>
      </c>
    </row>
    <row r="2467">
      <c r="A2467" s="1" t="str">
        <f>IFERROR(__xludf.DUMMYFUNCTION("""COMPUTED_VALUE"""),"UP")</f>
        <v>UP</v>
      </c>
    </row>
    <row r="2468">
      <c r="A2468" s="1" t="str">
        <f>IFERROR(__xludf.DUMMYFUNCTION("""COMPUTED_VALUE"""),"UPH")</f>
        <v>UPH</v>
      </c>
    </row>
    <row r="2469">
      <c r="A2469" s="1" t="str">
        <f>IFERROR(__xludf.DUMMYFUNCTION("""COMPUTED_VALUE"""),"UPS")</f>
        <v>UPS</v>
      </c>
    </row>
    <row r="2470">
      <c r="A2470" s="1" t="str">
        <f>IFERROR(__xludf.DUMMYFUNCTION("""COMPUTED_VALUE"""),"URI")</f>
        <v>URI</v>
      </c>
    </row>
    <row r="2471">
      <c r="A2471" s="1" t="str">
        <f>IFERROR(__xludf.DUMMYFUNCTION("""COMPUTED_VALUE"""),"USA")</f>
        <v>USA</v>
      </c>
    </row>
    <row r="2472">
      <c r="A2472" s="1" t="str">
        <f>IFERROR(__xludf.DUMMYFUNCTION("""COMPUTED_VALUE"""),"USAC")</f>
        <v>USAC</v>
      </c>
    </row>
    <row r="2473">
      <c r="A2473" s="1" t="str">
        <f>IFERROR(__xludf.DUMMYFUNCTION("""COMPUTED_VALUE"""),"USB")</f>
        <v>USB</v>
      </c>
    </row>
    <row r="2474">
      <c r="A2474" s="1" t="str">
        <f>IFERROR(__xludf.DUMMYFUNCTION("""COMPUTED_VALUE"""),"USDP")</f>
        <v>USDP</v>
      </c>
    </row>
    <row r="2475">
      <c r="A2475" s="1" t="str">
        <f>IFERROR(__xludf.DUMMYFUNCTION("""COMPUTED_VALUE"""),"USFD")</f>
        <v>USFD</v>
      </c>
    </row>
    <row r="2476">
      <c r="A2476" s="1" t="str">
        <f>IFERROR(__xludf.DUMMYFUNCTION("""COMPUTED_VALUE"""),"USM")</f>
        <v>USM</v>
      </c>
    </row>
    <row r="2477">
      <c r="A2477" s="1" t="str">
        <f>IFERROR(__xludf.DUMMYFUNCTION("""COMPUTED_VALUE"""),"USNA")</f>
        <v>USNA</v>
      </c>
    </row>
    <row r="2478">
      <c r="A2478" s="1" t="str">
        <f>IFERROR(__xludf.DUMMYFUNCTION("""COMPUTED_VALUE"""),"USPH")</f>
        <v>USPH</v>
      </c>
    </row>
    <row r="2479">
      <c r="A2479" s="1" t="str">
        <f>IFERROR(__xludf.DUMMYFUNCTION("""COMPUTED_VALUE"""),"USX")</f>
        <v>USX</v>
      </c>
    </row>
    <row r="2480">
      <c r="A2480" s="1" t="str">
        <f>IFERROR(__xludf.DUMMYFUNCTION("""COMPUTED_VALUE"""),"UTF")</f>
        <v>UTF</v>
      </c>
    </row>
    <row r="2481">
      <c r="A2481" s="1" t="str">
        <f>IFERROR(__xludf.DUMMYFUNCTION("""COMPUTED_VALUE"""),"UTI")</f>
        <v>UTI</v>
      </c>
    </row>
    <row r="2482">
      <c r="A2482" s="1" t="str">
        <f>IFERROR(__xludf.DUMMYFUNCTION("""COMPUTED_VALUE"""),"UTL")</f>
        <v>UTL</v>
      </c>
    </row>
    <row r="2483">
      <c r="A2483" s="1" t="str">
        <f>IFERROR(__xludf.DUMMYFUNCTION("""COMPUTED_VALUE"""),"UTZ")</f>
        <v>UTZ</v>
      </c>
    </row>
    <row r="2484">
      <c r="A2484" s="1" t="str">
        <f>IFERROR(__xludf.DUMMYFUNCTION("""COMPUTED_VALUE"""),"UVE")</f>
        <v>UVE</v>
      </c>
    </row>
    <row r="2485">
      <c r="A2485" s="1" t="str">
        <f>IFERROR(__xludf.DUMMYFUNCTION("""COMPUTED_VALUE"""),"UVV")</f>
        <v>UVV</v>
      </c>
    </row>
    <row r="2486">
      <c r="A2486" s="1" t="str">
        <f>IFERROR(__xludf.DUMMYFUNCTION("""COMPUTED_VALUE"""),"UWMC")</f>
        <v>UWMC</v>
      </c>
    </row>
    <row r="2487">
      <c r="A2487" s="1" t="str">
        <f>IFERROR(__xludf.DUMMYFUNCTION("""COMPUTED_VALUE"""),"UZA")</f>
        <v>UZA</v>
      </c>
    </row>
    <row r="2488">
      <c r="A2488" s="1" t="str">
        <f>IFERROR(__xludf.DUMMYFUNCTION("""COMPUTED_VALUE"""),"UZD")</f>
        <v>UZD</v>
      </c>
    </row>
    <row r="2489">
      <c r="A2489" s="1" t="str">
        <f>IFERROR(__xludf.DUMMYFUNCTION("""COMPUTED_VALUE"""),"UZE")</f>
        <v>UZE</v>
      </c>
    </row>
    <row r="2490">
      <c r="A2490" s="1" t="str">
        <f>IFERROR(__xludf.DUMMYFUNCTION("""COMPUTED_VALUE"""),"UZF")</f>
        <v>UZF</v>
      </c>
    </row>
    <row r="2491">
      <c r="A2491" s="1" t="str">
        <f>IFERROR(__xludf.DUMMYFUNCTION("""COMPUTED_VALUE"""),"V")</f>
        <v>V</v>
      </c>
    </row>
    <row r="2492">
      <c r="A2492" s="1" t="str">
        <f>IFERROR(__xludf.DUMMYFUNCTION("""COMPUTED_VALUE"""),"VAC")</f>
        <v>VAC</v>
      </c>
    </row>
    <row r="2493">
      <c r="A2493" s="1" t="str">
        <f>IFERROR(__xludf.DUMMYFUNCTION("""COMPUTED_VALUE"""),"VAL")</f>
        <v>VAL</v>
      </c>
    </row>
    <row r="2494">
      <c r="A2494" s="1" t="str">
        <f>IFERROR(__xludf.DUMMYFUNCTION("""COMPUTED_VALUE"""),"VALE")</f>
        <v>VALE</v>
      </c>
    </row>
    <row r="2495">
      <c r="A2495" s="1" t="str">
        <f>IFERROR(__xludf.DUMMYFUNCTION("""COMPUTED_VALUE"""),"VAPO")</f>
        <v>VAPO</v>
      </c>
    </row>
    <row r="2496">
      <c r="A2496" s="1" t="str">
        <f>IFERROR(__xludf.DUMMYFUNCTION("""COMPUTED_VALUE"""),"VBF")</f>
        <v>VBF</v>
      </c>
    </row>
    <row r="2497">
      <c r="A2497" s="1" t="str">
        <f>IFERROR(__xludf.DUMMYFUNCTION("""COMPUTED_VALUE"""),"VCIF")</f>
        <v>VCIF</v>
      </c>
    </row>
    <row r="2498">
      <c r="A2498" s="1" t="str">
        <f>IFERROR(__xludf.DUMMYFUNCTION("""COMPUTED_VALUE"""),"VCRA")</f>
        <v>VCRA</v>
      </c>
    </row>
    <row r="2499">
      <c r="A2499" s="1" t="str">
        <f>IFERROR(__xludf.DUMMYFUNCTION("""COMPUTED_VALUE"""),"VCV")</f>
        <v>VCV</v>
      </c>
    </row>
    <row r="2500">
      <c r="A2500" s="1" t="str">
        <f>IFERROR(__xludf.DUMMYFUNCTION("""COMPUTED_VALUE"""),"VEC")</f>
        <v>VEC</v>
      </c>
    </row>
    <row r="2501">
      <c r="A2501" s="1" t="str">
        <f>IFERROR(__xludf.DUMMYFUNCTION("""COMPUTED_VALUE"""),"VEDL")</f>
        <v>VEDL</v>
      </c>
    </row>
    <row r="2502">
      <c r="A2502" s="1" t="str">
        <f>IFERROR(__xludf.DUMMYFUNCTION("""COMPUTED_VALUE"""),"VEEV")</f>
        <v>VEEV</v>
      </c>
    </row>
    <row r="2503">
      <c r="A2503" s="1" t="str">
        <f>IFERROR(__xludf.DUMMYFUNCTION("""COMPUTED_VALUE"""),"VEI")</f>
        <v>VEI</v>
      </c>
    </row>
    <row r="2504">
      <c r="A2504" s="1" t="str">
        <f>IFERROR(__xludf.DUMMYFUNCTION("""COMPUTED_VALUE"""),"VEL")</f>
        <v>VEL</v>
      </c>
    </row>
    <row r="2505">
      <c r="A2505" s="1" t="str">
        <f>IFERROR(__xludf.DUMMYFUNCTION("""COMPUTED_VALUE"""),"VER")</f>
        <v>VER</v>
      </c>
    </row>
    <row r="2506">
      <c r="A2506" s="1" t="str">
        <f>IFERROR(__xludf.DUMMYFUNCTION("""COMPUTED_VALUE"""),"VET")</f>
        <v>VET</v>
      </c>
    </row>
    <row r="2507">
      <c r="A2507" s="1" t="str">
        <f>IFERROR(__xludf.DUMMYFUNCTION("""COMPUTED_VALUE"""),"VFC")</f>
        <v>VFC</v>
      </c>
    </row>
    <row r="2508">
      <c r="A2508" s="1" t="str">
        <f>IFERROR(__xludf.DUMMYFUNCTION("""COMPUTED_VALUE"""),"VGI")</f>
        <v>VGI</v>
      </c>
    </row>
    <row r="2509">
      <c r="A2509" s="1" t="str">
        <f>IFERROR(__xludf.DUMMYFUNCTION("""COMPUTED_VALUE"""),"VGII")</f>
        <v>VGII</v>
      </c>
    </row>
    <row r="2510">
      <c r="A2510" s="1" t="str">
        <f>IFERROR(__xludf.DUMMYFUNCTION("""COMPUTED_VALUE"""),"VGM")</f>
        <v>VGM</v>
      </c>
    </row>
    <row r="2511">
      <c r="A2511" s="1" t="str">
        <f>IFERROR(__xludf.DUMMYFUNCTION("""COMPUTED_VALUE"""),"VGR")</f>
        <v>VGR</v>
      </c>
    </row>
    <row r="2512">
      <c r="A2512" s="1" t="str">
        <f>IFERROR(__xludf.DUMMYFUNCTION("""COMPUTED_VALUE"""),"VHC")</f>
        <v>VHC</v>
      </c>
    </row>
    <row r="2513">
      <c r="A2513" s="1" t="str">
        <f>IFERROR(__xludf.DUMMYFUNCTION("""COMPUTED_VALUE"""),"VHI")</f>
        <v>VHI</v>
      </c>
    </row>
    <row r="2514">
      <c r="A2514" s="1" t="str">
        <f>IFERROR(__xludf.DUMMYFUNCTION("""COMPUTED_VALUE"""),"VIAO")</f>
        <v>VIAO</v>
      </c>
    </row>
    <row r="2515">
      <c r="A2515" s="1" t="str">
        <f>IFERROR(__xludf.DUMMYFUNCTION("""COMPUTED_VALUE"""),"VICI")</f>
        <v>VICI</v>
      </c>
    </row>
    <row r="2516">
      <c r="A2516" s="1" t="str">
        <f>IFERROR(__xludf.DUMMYFUNCTION("""COMPUTED_VALUE"""),"VIPS")</f>
        <v>VIPS</v>
      </c>
    </row>
    <row r="2517">
      <c r="A2517" s="1" t="str">
        <f>IFERROR(__xludf.DUMMYFUNCTION("""COMPUTED_VALUE"""),"VIST")</f>
        <v>VIST</v>
      </c>
    </row>
    <row r="2518">
      <c r="A2518" s="1" t="str">
        <f>IFERROR(__xludf.DUMMYFUNCTION("""COMPUTED_VALUE"""),"VIV")</f>
        <v>VIV</v>
      </c>
    </row>
    <row r="2519">
      <c r="A2519" s="1" t="str">
        <f>IFERROR(__xludf.DUMMYFUNCTION("""COMPUTED_VALUE"""),"VKQ")</f>
        <v>VKQ</v>
      </c>
    </row>
    <row r="2520">
      <c r="A2520" s="1" t="str">
        <f>IFERROR(__xludf.DUMMYFUNCTION("""COMPUTED_VALUE"""),"VLO")</f>
        <v>VLO</v>
      </c>
    </row>
    <row r="2521">
      <c r="A2521" s="1" t="str">
        <f>IFERROR(__xludf.DUMMYFUNCTION("""COMPUTED_VALUE"""),"VLRS")</f>
        <v>VLRS</v>
      </c>
    </row>
    <row r="2522">
      <c r="A2522" s="1" t="str">
        <f>IFERROR(__xludf.DUMMYFUNCTION("""COMPUTED_VALUE"""),"VLT")</f>
        <v>VLT</v>
      </c>
    </row>
    <row r="2523">
      <c r="A2523" s="1" t="str">
        <f>IFERROR(__xludf.DUMMYFUNCTION("""COMPUTED_VALUE"""),"VMC")</f>
        <v>VMC</v>
      </c>
    </row>
    <row r="2524">
      <c r="A2524" s="1" t="str">
        <f>IFERROR(__xludf.DUMMYFUNCTION("""COMPUTED_VALUE"""),"VMI")</f>
        <v>VMI</v>
      </c>
    </row>
    <row r="2525">
      <c r="A2525" s="1" t="str">
        <f>IFERROR(__xludf.DUMMYFUNCTION("""COMPUTED_VALUE"""),"VMO")</f>
        <v>VMO</v>
      </c>
    </row>
    <row r="2526">
      <c r="A2526" s="1" t="str">
        <f>IFERROR(__xludf.DUMMYFUNCTION("""COMPUTED_VALUE"""),"VMW")</f>
        <v>VMW</v>
      </c>
    </row>
    <row r="2527">
      <c r="A2527" s="1" t="str">
        <f>IFERROR(__xludf.DUMMYFUNCTION("""COMPUTED_VALUE"""),"VNCE")</f>
        <v>VNCE</v>
      </c>
    </row>
    <row r="2528">
      <c r="A2528" s="1" t="str">
        <f>IFERROR(__xludf.DUMMYFUNCTION("""COMPUTED_VALUE"""),"VNE")</f>
        <v>VNE</v>
      </c>
    </row>
    <row r="2529">
      <c r="A2529" s="1" t="str">
        <f>IFERROR(__xludf.DUMMYFUNCTION("""COMPUTED_VALUE"""),"VNO")</f>
        <v>VNO</v>
      </c>
    </row>
    <row r="2530">
      <c r="A2530" s="1" t="str">
        <f>IFERROR(__xludf.DUMMYFUNCTION("""COMPUTED_VALUE"""),"VNT")</f>
        <v>VNT</v>
      </c>
    </row>
    <row r="2531">
      <c r="A2531" s="1" t="str">
        <f>IFERROR(__xludf.DUMMYFUNCTION("""COMPUTED_VALUE"""),"VNTR")</f>
        <v>VNTR</v>
      </c>
    </row>
    <row r="2532">
      <c r="A2532" s="1" t="str">
        <f>IFERROR(__xludf.DUMMYFUNCTION("""COMPUTED_VALUE"""),"VOC")</f>
        <v>VOC</v>
      </c>
    </row>
    <row r="2533">
      <c r="A2533" s="1" t="str">
        <f>IFERROR(__xludf.DUMMYFUNCTION("""COMPUTED_VALUE"""),"VOYA")</f>
        <v>VOYA</v>
      </c>
    </row>
    <row r="2534">
      <c r="A2534" s="1" t="str">
        <f>IFERROR(__xludf.DUMMYFUNCTION("""COMPUTED_VALUE"""),"VPCC")</f>
        <v>VPCC</v>
      </c>
    </row>
    <row r="2535">
      <c r="A2535" s="1" t="str">
        <f>IFERROR(__xludf.DUMMYFUNCTION("""COMPUTED_VALUE"""),"VPG")</f>
        <v>VPG</v>
      </c>
    </row>
    <row r="2536">
      <c r="A2536" s="1" t="str">
        <f>IFERROR(__xludf.DUMMYFUNCTION("""COMPUTED_VALUE"""),"VPV")</f>
        <v>VPV</v>
      </c>
    </row>
    <row r="2537">
      <c r="A2537" s="1" t="str">
        <f>IFERROR(__xludf.DUMMYFUNCTION("""COMPUTED_VALUE"""),"VRS")</f>
        <v>VRS</v>
      </c>
    </row>
    <row r="2538">
      <c r="A2538" s="1" t="str">
        <f>IFERROR(__xludf.DUMMYFUNCTION("""COMPUTED_VALUE"""),"VRT")</f>
        <v>VRT</v>
      </c>
    </row>
    <row r="2539">
      <c r="A2539" s="1" t="str">
        <f>IFERROR(__xludf.DUMMYFUNCTION("""COMPUTED_VALUE"""),"VRTV")</f>
        <v>VRTV</v>
      </c>
    </row>
    <row r="2540">
      <c r="A2540" s="1" t="str">
        <f>IFERROR(__xludf.DUMMYFUNCTION("""COMPUTED_VALUE"""),"VSCO")</f>
        <v>VSCO</v>
      </c>
    </row>
    <row r="2541">
      <c r="A2541" s="1" t="str">
        <f>IFERROR(__xludf.DUMMYFUNCTION("""COMPUTED_VALUE"""),"VSH")</f>
        <v>VSH</v>
      </c>
    </row>
    <row r="2542">
      <c r="A2542" s="1" t="str">
        <f>IFERROR(__xludf.DUMMYFUNCTION("""COMPUTED_VALUE"""),"VST")</f>
        <v>VST</v>
      </c>
    </row>
    <row r="2543">
      <c r="A2543" s="1" t="str">
        <f>IFERROR(__xludf.DUMMYFUNCTION("""COMPUTED_VALUE"""),"VSTO")</f>
        <v>VSTO</v>
      </c>
    </row>
    <row r="2544">
      <c r="A2544" s="1" t="str">
        <f>IFERROR(__xludf.DUMMYFUNCTION("""COMPUTED_VALUE"""),"VTA")</f>
        <v>VTA</v>
      </c>
    </row>
    <row r="2545">
      <c r="A2545" s="1" t="str">
        <f>IFERROR(__xludf.DUMMYFUNCTION("""COMPUTED_VALUE"""),"VTEX")</f>
        <v>VTEX</v>
      </c>
    </row>
    <row r="2546">
      <c r="A2546" s="1" t="str">
        <f>IFERROR(__xludf.DUMMYFUNCTION("""COMPUTED_VALUE"""),"VTN")</f>
        <v>VTN</v>
      </c>
    </row>
    <row r="2547">
      <c r="A2547" s="1" t="str">
        <f>IFERROR(__xludf.DUMMYFUNCTION("""COMPUTED_VALUE"""),"VTOL")</f>
        <v>VTOL</v>
      </c>
    </row>
    <row r="2548">
      <c r="A2548" s="1" t="str">
        <f>IFERROR(__xludf.DUMMYFUNCTION("""COMPUTED_VALUE"""),"VTR")</f>
        <v>VTR</v>
      </c>
    </row>
    <row r="2549">
      <c r="A2549" s="1" t="str">
        <f>IFERROR(__xludf.DUMMYFUNCTION("""COMPUTED_VALUE"""),"VVI")</f>
        <v>VVI</v>
      </c>
    </row>
    <row r="2550">
      <c r="A2550" s="1" t="str">
        <f>IFERROR(__xludf.DUMMYFUNCTION("""COMPUTED_VALUE"""),"VVNT")</f>
        <v>VVNT</v>
      </c>
    </row>
    <row r="2551">
      <c r="A2551" s="1" t="str">
        <f>IFERROR(__xludf.DUMMYFUNCTION("""COMPUTED_VALUE"""),"VVR")</f>
        <v>VVR</v>
      </c>
    </row>
    <row r="2552">
      <c r="A2552" s="1" t="str">
        <f>IFERROR(__xludf.DUMMYFUNCTION("""COMPUTED_VALUE"""),"VVV")</f>
        <v>VVV</v>
      </c>
    </row>
    <row r="2553">
      <c r="A2553" s="1" t="str">
        <f>IFERROR(__xludf.DUMMYFUNCTION("""COMPUTED_VALUE"""),"VYGG")</f>
        <v>VYGG</v>
      </c>
    </row>
    <row r="2554">
      <c r="A2554" s="1" t="str">
        <f>IFERROR(__xludf.DUMMYFUNCTION("""COMPUTED_VALUE"""),"VZIO")</f>
        <v>VZIO</v>
      </c>
    </row>
    <row r="2555">
      <c r="A2555" s="1" t="str">
        <f>IFERROR(__xludf.DUMMYFUNCTION("""COMPUTED_VALUE"""),"W")</f>
        <v>W</v>
      </c>
    </row>
    <row r="2556">
      <c r="A2556" s="1" t="str">
        <f>IFERROR(__xludf.DUMMYFUNCTION("""COMPUTED_VALUE"""),"WAB")</f>
        <v>WAB</v>
      </c>
    </row>
    <row r="2557">
      <c r="A2557" s="1" t="str">
        <f>IFERROR(__xludf.DUMMYFUNCTION("""COMPUTED_VALUE"""),"WAL")</f>
        <v>WAL</v>
      </c>
    </row>
    <row r="2558">
      <c r="A2558" s="1" t="str">
        <f>IFERROR(__xludf.DUMMYFUNCTION("""COMPUTED_VALUE"""),"WALA")</f>
        <v>WALA</v>
      </c>
    </row>
    <row r="2559">
      <c r="A2559" s="1" t="str">
        <f>IFERROR(__xludf.DUMMYFUNCTION("""COMPUTED_VALUE"""),"WARR")</f>
        <v>WARR</v>
      </c>
    </row>
    <row r="2560">
      <c r="A2560" s="1" t="str">
        <f>IFERROR(__xludf.DUMMYFUNCTION("""COMPUTED_VALUE"""),"WAT")</f>
        <v>WAT</v>
      </c>
    </row>
    <row r="2561">
      <c r="A2561" s="1" t="str">
        <f>IFERROR(__xludf.DUMMYFUNCTION("""COMPUTED_VALUE"""),"WBK")</f>
        <v>WBK</v>
      </c>
    </row>
    <row r="2562">
      <c r="A2562" s="1" t="str">
        <f>IFERROR(__xludf.DUMMYFUNCTION("""COMPUTED_VALUE"""),"WBS")</f>
        <v>WBS</v>
      </c>
    </row>
    <row r="2563">
      <c r="A2563" s="1" t="str">
        <f>IFERROR(__xludf.DUMMYFUNCTION("""COMPUTED_VALUE"""),"WBT")</f>
        <v>WBT</v>
      </c>
    </row>
    <row r="2564">
      <c r="A2564" s="1" t="str">
        <f>IFERROR(__xludf.DUMMYFUNCTION("""COMPUTED_VALUE"""),"WCC")</f>
        <v>WCC</v>
      </c>
    </row>
    <row r="2565">
      <c r="A2565" s="1" t="str">
        <f>IFERROR(__xludf.DUMMYFUNCTION("""COMPUTED_VALUE"""),"WCN")</f>
        <v>WCN</v>
      </c>
    </row>
    <row r="2566">
      <c r="A2566" s="1" t="str">
        <f>IFERROR(__xludf.DUMMYFUNCTION("""COMPUTED_VALUE"""),"WD")</f>
        <v>WD</v>
      </c>
    </row>
    <row r="2567">
      <c r="A2567" s="1" t="str">
        <f>IFERROR(__xludf.DUMMYFUNCTION("""COMPUTED_VALUE"""),"WDH")</f>
        <v>WDH</v>
      </c>
    </row>
    <row r="2568">
      <c r="A2568" s="1" t="str">
        <f>IFERROR(__xludf.DUMMYFUNCTION("""COMPUTED_VALUE"""),"WDI")</f>
        <v>WDI</v>
      </c>
    </row>
    <row r="2569">
      <c r="A2569" s="1" t="str">
        <f>IFERROR(__xludf.DUMMYFUNCTION("""COMPUTED_VALUE"""),"WEA")</f>
        <v>WEA</v>
      </c>
    </row>
    <row r="2570">
      <c r="A2570" s="1" t="str">
        <f>IFERROR(__xludf.DUMMYFUNCTION("""COMPUTED_VALUE"""),"WEBR")</f>
        <v>WEBR</v>
      </c>
    </row>
    <row r="2571">
      <c r="A2571" s="1" t="str">
        <f>IFERROR(__xludf.DUMMYFUNCTION("""COMPUTED_VALUE"""),"WEC")</f>
        <v>WEC</v>
      </c>
    </row>
    <row r="2572">
      <c r="A2572" s="1" t="str">
        <f>IFERROR(__xludf.DUMMYFUNCTION("""COMPUTED_VALUE"""),"WEI")</f>
        <v>WEI</v>
      </c>
    </row>
    <row r="2573">
      <c r="A2573" s="1" t="str">
        <f>IFERROR(__xludf.DUMMYFUNCTION("""COMPUTED_VALUE"""),"WELL")</f>
        <v>WELL</v>
      </c>
    </row>
    <row r="2574">
      <c r="A2574" s="1" t="str">
        <f>IFERROR(__xludf.DUMMYFUNCTION("""COMPUTED_VALUE"""),"WES")</f>
        <v>WES</v>
      </c>
    </row>
    <row r="2575">
      <c r="A2575" s="1" t="str">
        <f>IFERROR(__xludf.DUMMYFUNCTION("""COMPUTED_VALUE"""),"WEX")</f>
        <v>WEX</v>
      </c>
    </row>
    <row r="2576">
      <c r="A2576" s="1" t="str">
        <f>IFERROR(__xludf.DUMMYFUNCTION("""COMPUTED_VALUE"""),"WF")</f>
        <v>WF</v>
      </c>
    </row>
    <row r="2577">
      <c r="A2577" s="1" t="str">
        <f>IFERROR(__xludf.DUMMYFUNCTION("""COMPUTED_VALUE"""),"WFC")</f>
        <v>WFC</v>
      </c>
    </row>
    <row r="2578">
      <c r="A2578" s="1" t="str">
        <f>IFERROR(__xludf.DUMMYFUNCTION("""COMPUTED_VALUE"""),"WFG")</f>
        <v>WFG</v>
      </c>
    </row>
    <row r="2579">
      <c r="A2579" s="1" t="str">
        <f>IFERROR(__xludf.DUMMYFUNCTION("""COMPUTED_VALUE"""),"WGO")</f>
        <v>WGO</v>
      </c>
    </row>
    <row r="2580">
      <c r="A2580" s="1" t="str">
        <f>IFERROR(__xludf.DUMMYFUNCTION("""COMPUTED_VALUE"""),"WH")</f>
        <v>WH</v>
      </c>
    </row>
    <row r="2581">
      <c r="A2581" s="1" t="str">
        <f>IFERROR(__xludf.DUMMYFUNCTION("""COMPUTED_VALUE"""),"WHD")</f>
        <v>WHD</v>
      </c>
    </row>
    <row r="2582">
      <c r="A2582" s="1" t="str">
        <f>IFERROR(__xludf.DUMMYFUNCTION("""COMPUTED_VALUE"""),"WHG")</f>
        <v>WHG</v>
      </c>
    </row>
    <row r="2583">
      <c r="A2583" s="1" t="str">
        <f>IFERROR(__xludf.DUMMYFUNCTION("""COMPUTED_VALUE"""),"WHR")</f>
        <v>WHR</v>
      </c>
    </row>
    <row r="2584">
      <c r="A2584" s="1" t="str">
        <f>IFERROR(__xludf.DUMMYFUNCTION("""COMPUTED_VALUE"""),"WIA")</f>
        <v>WIA</v>
      </c>
    </row>
    <row r="2585">
      <c r="A2585" s="1" t="str">
        <f>IFERROR(__xludf.DUMMYFUNCTION("""COMPUTED_VALUE"""),"WIT")</f>
        <v>WIT</v>
      </c>
    </row>
    <row r="2586">
      <c r="A2586" s="1" t="str">
        <f>IFERROR(__xludf.DUMMYFUNCTION("""COMPUTED_VALUE"""),"WIW")</f>
        <v>WIW</v>
      </c>
    </row>
    <row r="2587">
      <c r="A2587" s="1" t="str">
        <f>IFERROR(__xludf.DUMMYFUNCTION("""COMPUTED_VALUE"""),"WK")</f>
        <v>WK</v>
      </c>
    </row>
    <row r="2588">
      <c r="A2588" s="1" t="str">
        <f>IFERROR(__xludf.DUMMYFUNCTION("""COMPUTED_VALUE"""),"WLK")</f>
        <v>WLK</v>
      </c>
    </row>
    <row r="2589">
      <c r="A2589" s="1" t="str">
        <f>IFERROR(__xludf.DUMMYFUNCTION("""COMPUTED_VALUE"""),"WLKP")</f>
        <v>WLKP</v>
      </c>
    </row>
    <row r="2590">
      <c r="A2590" s="1" t="str">
        <f>IFERROR(__xludf.DUMMYFUNCTION("""COMPUTED_VALUE"""),"WLL")</f>
        <v>WLL</v>
      </c>
    </row>
    <row r="2591">
      <c r="A2591" s="1" t="str">
        <f>IFERROR(__xludf.DUMMYFUNCTION("""COMPUTED_VALUE"""),"WM")</f>
        <v>WM</v>
      </c>
    </row>
    <row r="2592">
      <c r="A2592" s="1" t="str">
        <f>IFERROR(__xludf.DUMMYFUNCTION("""COMPUTED_VALUE"""),"WMB")</f>
        <v>WMB</v>
      </c>
    </row>
    <row r="2593">
      <c r="A2593" s="1" t="str">
        <f>IFERROR(__xludf.DUMMYFUNCTION("""COMPUTED_VALUE"""),"WMC")</f>
        <v>WMC</v>
      </c>
    </row>
    <row r="2594">
      <c r="A2594" s="1" t="str">
        <f>IFERROR(__xludf.DUMMYFUNCTION("""COMPUTED_VALUE"""),"WMK")</f>
        <v>WMK</v>
      </c>
    </row>
    <row r="2595">
      <c r="A2595" s="1" t="str">
        <f>IFERROR(__xludf.DUMMYFUNCTION("""COMPUTED_VALUE"""),"WMS")</f>
        <v>WMS</v>
      </c>
    </row>
    <row r="2596">
      <c r="A2596" s="1" t="str">
        <f>IFERROR(__xludf.DUMMYFUNCTION("""COMPUTED_VALUE"""),"WMT")</f>
        <v>WMT</v>
      </c>
    </row>
    <row r="2597">
      <c r="A2597" s="1" t="str">
        <f>IFERROR(__xludf.DUMMYFUNCTION("""COMPUTED_VALUE"""),"WNC")</f>
        <v>WNC</v>
      </c>
    </row>
    <row r="2598">
      <c r="A2598" s="1" t="str">
        <f>IFERROR(__xludf.DUMMYFUNCTION("""COMPUTED_VALUE"""),"WNS")</f>
        <v>WNS</v>
      </c>
    </row>
    <row r="2599">
      <c r="A2599" s="1" t="str">
        <f>IFERROR(__xludf.DUMMYFUNCTION("""COMPUTED_VALUE"""),"WOR")</f>
        <v>WOR</v>
      </c>
    </row>
    <row r="2600">
      <c r="A2600" s="1" t="str">
        <f>IFERROR(__xludf.DUMMYFUNCTION("""COMPUTED_VALUE"""),"WOW")</f>
        <v>WOW</v>
      </c>
    </row>
    <row r="2601">
      <c r="A2601" s="1" t="str">
        <f>IFERROR(__xludf.DUMMYFUNCTION("""COMPUTED_VALUE"""),"WPC")</f>
        <v>WPC</v>
      </c>
    </row>
    <row r="2602">
      <c r="A2602" s="1" t="str">
        <f>IFERROR(__xludf.DUMMYFUNCTION("""COMPUTED_VALUE"""),"WPCA")</f>
        <v>WPCA</v>
      </c>
    </row>
    <row r="2603">
      <c r="A2603" s="1" t="str">
        <f>IFERROR(__xludf.DUMMYFUNCTION("""COMPUTED_VALUE"""),"WPCB")</f>
        <v>WPCB</v>
      </c>
    </row>
    <row r="2604">
      <c r="A2604" s="1" t="str">
        <f>IFERROR(__xludf.DUMMYFUNCTION("""COMPUTED_VALUE"""),"WPG")</f>
        <v>WPG</v>
      </c>
    </row>
    <row r="2605">
      <c r="A2605" s="1" t="str">
        <f>IFERROR(__xludf.DUMMYFUNCTION("""COMPUTED_VALUE"""),"WPM")</f>
        <v>WPM</v>
      </c>
    </row>
    <row r="2606">
      <c r="A2606" s="1" t="str">
        <f>IFERROR(__xludf.DUMMYFUNCTION("""COMPUTED_VALUE"""),"WPP")</f>
        <v>WPP</v>
      </c>
    </row>
    <row r="2607">
      <c r="A2607" s="1" t="str">
        <f>IFERROR(__xludf.DUMMYFUNCTION("""COMPUTED_VALUE"""),"WRB")</f>
        <v>WRB</v>
      </c>
    </row>
    <row r="2608">
      <c r="A2608" s="1" t="str">
        <f>IFERROR(__xludf.DUMMYFUNCTION("""COMPUTED_VALUE"""),"WRE")</f>
        <v>WRE</v>
      </c>
    </row>
    <row r="2609">
      <c r="A2609" s="1" t="str">
        <f>IFERROR(__xludf.DUMMYFUNCTION("""COMPUTED_VALUE"""),"WRK")</f>
        <v>WRK</v>
      </c>
    </row>
    <row r="2610">
      <c r="A2610" s="1" t="str">
        <f>IFERROR(__xludf.DUMMYFUNCTION("""COMPUTED_VALUE"""),"WSM")</f>
        <v>WSM</v>
      </c>
    </row>
    <row r="2611">
      <c r="A2611" s="1" t="str">
        <f>IFERROR(__xludf.DUMMYFUNCTION("""COMPUTED_VALUE"""),"WSO")</f>
        <v>WSO</v>
      </c>
    </row>
    <row r="2612">
      <c r="A2612" s="1" t="str">
        <f>IFERROR(__xludf.DUMMYFUNCTION("""COMPUTED_VALUE"""),"WSR")</f>
        <v>WSR</v>
      </c>
    </row>
    <row r="2613">
      <c r="A2613" s="1" t="str">
        <f>IFERROR(__xludf.DUMMYFUNCTION("""COMPUTED_VALUE"""),"WST")</f>
        <v>WST</v>
      </c>
    </row>
    <row r="2614">
      <c r="A2614" s="1" t="str">
        <f>IFERROR(__xludf.DUMMYFUNCTION("""COMPUTED_VALUE"""),"WTI")</f>
        <v>WTI</v>
      </c>
    </row>
    <row r="2615">
      <c r="A2615" s="1" t="str">
        <f>IFERROR(__xludf.DUMMYFUNCTION("""COMPUTED_VALUE"""),"WTM")</f>
        <v>WTM</v>
      </c>
    </row>
    <row r="2616">
      <c r="A2616" s="1" t="str">
        <f>IFERROR(__xludf.DUMMYFUNCTION("""COMPUTED_VALUE"""),"WTRG")</f>
        <v>WTRG</v>
      </c>
    </row>
    <row r="2617">
      <c r="A2617" s="1" t="str">
        <f>IFERROR(__xludf.DUMMYFUNCTION("""COMPUTED_VALUE"""),"WTRU")</f>
        <v>WTRU</v>
      </c>
    </row>
    <row r="2618">
      <c r="A2618" s="1" t="str">
        <f>IFERROR(__xludf.DUMMYFUNCTION("""COMPUTED_VALUE"""),"WTS")</f>
        <v>WTS</v>
      </c>
    </row>
    <row r="2619">
      <c r="A2619" s="1" t="str">
        <f>IFERROR(__xludf.DUMMYFUNCTION("""COMPUTED_VALUE"""),"WTTR")</f>
        <v>WTTR</v>
      </c>
    </row>
    <row r="2620">
      <c r="A2620" s="1" t="str">
        <f>IFERROR(__xludf.DUMMYFUNCTION("""COMPUTED_VALUE"""),"WU")</f>
        <v>WU</v>
      </c>
    </row>
    <row r="2621">
      <c r="A2621" s="1" t="str">
        <f>IFERROR(__xludf.DUMMYFUNCTION("""COMPUTED_VALUE"""),"WWE")</f>
        <v>WWE</v>
      </c>
    </row>
    <row r="2622">
      <c r="A2622" s="1" t="str">
        <f>IFERROR(__xludf.DUMMYFUNCTION("""COMPUTED_VALUE"""),"WWW")</f>
        <v>WWW</v>
      </c>
    </row>
    <row r="2623">
      <c r="A2623" s="1" t="str">
        <f>IFERROR(__xludf.DUMMYFUNCTION("""COMPUTED_VALUE"""),"WY")</f>
        <v>WY</v>
      </c>
    </row>
    <row r="2624">
      <c r="A2624" s="1" t="str">
        <f>IFERROR(__xludf.DUMMYFUNCTION("""COMPUTED_VALUE"""),"X")</f>
        <v>X</v>
      </c>
    </row>
    <row r="2625">
      <c r="A2625" s="1" t="str">
        <f>IFERROR(__xludf.DUMMYFUNCTION("""COMPUTED_VALUE"""),"XEC")</f>
        <v>XEC</v>
      </c>
    </row>
    <row r="2626">
      <c r="A2626" s="1" t="str">
        <f>IFERROR(__xludf.DUMMYFUNCTION("""COMPUTED_VALUE"""),"XFLT")</f>
        <v>XFLT</v>
      </c>
    </row>
    <row r="2627">
      <c r="A2627" s="1" t="str">
        <f>IFERROR(__xludf.DUMMYFUNCTION("""COMPUTED_VALUE"""),"XHR")</f>
        <v>XHR</v>
      </c>
    </row>
    <row r="2628">
      <c r="A2628" s="1" t="str">
        <f>IFERROR(__xludf.DUMMYFUNCTION("""COMPUTED_VALUE"""),"XIN")</f>
        <v>XIN</v>
      </c>
    </row>
    <row r="2629">
      <c r="A2629" s="1" t="str">
        <f>IFERROR(__xludf.DUMMYFUNCTION("""COMPUTED_VALUE"""),"XL")</f>
        <v>XL</v>
      </c>
    </row>
    <row r="2630">
      <c r="A2630" s="1" t="str">
        <f>IFERROR(__xludf.DUMMYFUNCTION("""COMPUTED_VALUE"""),"XOM")</f>
        <v>XOM</v>
      </c>
    </row>
    <row r="2631">
      <c r="A2631" s="1" t="str">
        <f>IFERROR(__xludf.DUMMYFUNCTION("""COMPUTED_VALUE"""),"XPEV")</f>
        <v>XPEV</v>
      </c>
    </row>
    <row r="2632">
      <c r="A2632" s="1" t="str">
        <f>IFERROR(__xludf.DUMMYFUNCTION("""COMPUTED_VALUE"""),"XPO")</f>
        <v>XPO</v>
      </c>
    </row>
    <row r="2633">
      <c r="A2633" s="1" t="str">
        <f>IFERROR(__xludf.DUMMYFUNCTION("""COMPUTED_VALUE"""),"XPOA")</f>
        <v>XPOA</v>
      </c>
    </row>
    <row r="2634">
      <c r="A2634" s="1" t="str">
        <f>IFERROR(__xludf.DUMMYFUNCTION("""COMPUTED_VALUE"""),"XPOF")</f>
        <v>XPOF</v>
      </c>
    </row>
    <row r="2635">
      <c r="A2635" s="1" t="str">
        <f>IFERROR(__xludf.DUMMYFUNCTION("""COMPUTED_VALUE"""),"XRX")</f>
        <v>XRX</v>
      </c>
    </row>
    <row r="2636">
      <c r="A2636" s="1" t="str">
        <f>IFERROR(__xludf.DUMMYFUNCTION("""COMPUTED_VALUE"""),"XYF")</f>
        <v>XYF</v>
      </c>
    </row>
    <row r="2637">
      <c r="A2637" s="1" t="str">
        <f>IFERROR(__xludf.DUMMYFUNCTION("""COMPUTED_VALUE"""),"XYL")</f>
        <v>XYL</v>
      </c>
    </row>
    <row r="2638">
      <c r="A2638" s="1" t="str">
        <f>IFERROR(__xludf.DUMMYFUNCTION("""COMPUTED_VALUE"""),"Y")</f>
        <v>Y</v>
      </c>
    </row>
    <row r="2639">
      <c r="A2639" s="1" t="str">
        <f>IFERROR(__xludf.DUMMYFUNCTION("""COMPUTED_VALUE"""),"YAC")</f>
        <v>YAC</v>
      </c>
    </row>
    <row r="2640">
      <c r="A2640" s="1" t="str">
        <f>IFERROR(__xludf.DUMMYFUNCTION("""COMPUTED_VALUE"""),"YALA")</f>
        <v>YALA</v>
      </c>
    </row>
    <row r="2641">
      <c r="A2641" s="1" t="str">
        <f>IFERROR(__xludf.DUMMYFUNCTION("""COMPUTED_VALUE"""),"YELP")</f>
        <v>YELP</v>
      </c>
    </row>
    <row r="2642">
      <c r="A2642" s="1" t="str">
        <f>IFERROR(__xludf.DUMMYFUNCTION("""COMPUTED_VALUE"""),"YETI")</f>
        <v>YETI</v>
      </c>
    </row>
    <row r="2643">
      <c r="A2643" s="1" t="str">
        <f>IFERROR(__xludf.DUMMYFUNCTION("""COMPUTED_VALUE"""),"YEXT")</f>
        <v>YEXT</v>
      </c>
    </row>
    <row r="2644">
      <c r="A2644" s="1" t="str">
        <f>IFERROR(__xludf.DUMMYFUNCTION("""COMPUTED_VALUE"""),"YMM")</f>
        <v>YMM</v>
      </c>
    </row>
    <row r="2645">
      <c r="A2645" s="1" t="str">
        <f>IFERROR(__xludf.DUMMYFUNCTION("""COMPUTED_VALUE"""),"YOU")</f>
        <v>YOU</v>
      </c>
    </row>
    <row r="2646">
      <c r="A2646" s="1" t="str">
        <f>IFERROR(__xludf.DUMMYFUNCTION("""COMPUTED_VALUE"""),"YPF")</f>
        <v>YPF</v>
      </c>
    </row>
    <row r="2647">
      <c r="A2647" s="1" t="str">
        <f>IFERROR(__xludf.DUMMYFUNCTION("""COMPUTED_VALUE"""),"YRD")</f>
        <v>YRD</v>
      </c>
    </row>
    <row r="2648">
      <c r="A2648" s="1" t="str">
        <f>IFERROR(__xludf.DUMMYFUNCTION("""COMPUTED_VALUE"""),"YSG")</f>
        <v>YSG</v>
      </c>
    </row>
    <row r="2649">
      <c r="A2649" s="1" t="str">
        <f>IFERROR(__xludf.DUMMYFUNCTION("""COMPUTED_VALUE"""),"YTPG")</f>
        <v>YTPG</v>
      </c>
    </row>
    <row r="2650">
      <c r="A2650" s="1" t="str">
        <f>IFERROR(__xludf.DUMMYFUNCTION("""COMPUTED_VALUE"""),"YUM")</f>
        <v>YUM</v>
      </c>
    </row>
    <row r="2651">
      <c r="A2651" s="1" t="str">
        <f>IFERROR(__xludf.DUMMYFUNCTION("""COMPUTED_VALUE"""),"YUMC")</f>
        <v>YUMC</v>
      </c>
    </row>
    <row r="2652">
      <c r="A2652" s="1" t="str">
        <f>IFERROR(__xludf.DUMMYFUNCTION("""COMPUTED_VALUE"""),"ZBH")</f>
        <v>ZBH</v>
      </c>
    </row>
    <row r="2653">
      <c r="A2653" s="1" t="str">
        <f>IFERROR(__xludf.DUMMYFUNCTION("""COMPUTED_VALUE"""),"ZEN")</f>
        <v>ZEN</v>
      </c>
    </row>
    <row r="2654">
      <c r="A2654" s="1" t="str">
        <f>IFERROR(__xludf.DUMMYFUNCTION("""COMPUTED_VALUE"""),"ZEPP")</f>
        <v>ZEPP</v>
      </c>
    </row>
    <row r="2655">
      <c r="A2655" s="1" t="str">
        <f>IFERROR(__xludf.DUMMYFUNCTION("""COMPUTED_VALUE"""),"ZETA")</f>
        <v>ZETA</v>
      </c>
    </row>
    <row r="2656">
      <c r="A2656" s="1" t="str">
        <f>IFERROR(__xludf.DUMMYFUNCTION("""COMPUTED_VALUE"""),"ZEV")</f>
        <v>ZEV</v>
      </c>
    </row>
    <row r="2657">
      <c r="A2657" s="1" t="str">
        <f>IFERROR(__xludf.DUMMYFUNCTION("""COMPUTED_VALUE"""),"ZH")</f>
        <v>ZH</v>
      </c>
    </row>
    <row r="2658">
      <c r="A2658" s="1" t="str">
        <f>IFERROR(__xludf.DUMMYFUNCTION("""COMPUTED_VALUE"""),"ZIM")</f>
        <v>ZIM</v>
      </c>
    </row>
    <row r="2659">
      <c r="A2659" s="1" t="str">
        <f>IFERROR(__xludf.DUMMYFUNCTION("""COMPUTED_VALUE"""),"ZIP")</f>
        <v>ZIP</v>
      </c>
    </row>
    <row r="2660">
      <c r="A2660" s="1" t="str">
        <f>IFERROR(__xludf.DUMMYFUNCTION("""COMPUTED_VALUE"""),"ZME")</f>
        <v>ZME</v>
      </c>
    </row>
    <row r="2661">
      <c r="A2661" s="1" t="str">
        <f>IFERROR(__xludf.DUMMYFUNCTION("""COMPUTED_VALUE"""),"ZNH")</f>
        <v>ZNH</v>
      </c>
    </row>
    <row r="2662">
      <c r="A2662" s="1" t="str">
        <f>IFERROR(__xludf.DUMMYFUNCTION("""COMPUTED_VALUE"""),"ZTO")</f>
        <v>ZTO</v>
      </c>
    </row>
    <row r="2663">
      <c r="A2663" s="1" t="str">
        <f>IFERROR(__xludf.DUMMYFUNCTION("""COMPUTED_VALUE"""),"ZTR")</f>
        <v>ZTR</v>
      </c>
    </row>
    <row r="2664">
      <c r="A2664" s="1" t="str">
        <f>IFERROR(__xludf.DUMMYFUNCTION("""COMPUTED_VALUE"""),"ZTS")</f>
        <v>ZTS</v>
      </c>
    </row>
    <row r="2665">
      <c r="A2665" s="1" t="str">
        <f>IFERROR(__xludf.DUMMYFUNCTION("""COMPUTED_VALUE"""),"ZUO")</f>
        <v>ZUO</v>
      </c>
    </row>
    <row r="2666">
      <c r="A2666" s="1" t="str">
        <f>IFERROR(__xludf.DUMMYFUNCTION("""COMPUTED_VALUE"""),"ZVIA")</f>
        <v>ZVIA</v>
      </c>
    </row>
    <row r="2667">
      <c r="A2667" s="1" t="str">
        <f>IFERROR(__xludf.DUMMYFUNCTION("""COMPUTED_VALUE"""),"ZYME")</f>
        <v>ZYME</v>
      </c>
    </row>
  </sheetData>
  <conditionalFormatting sqref="A1:A3541">
    <cfRule type="expression" dxfId="0" priority="1">
      <formula>countif(A:A,A1)&gt;1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IFERROR(__xludf.DUMMYFUNCTION("filter('AMEX (raw)'!A:A,REGEXMATCH('AMEX (raw)'!A:A,""[\^/^.]"")=false, ISERROR(MATCH('AMEX (raw)'!A:A,Invalid!A:A,0)))"),"AAMC")</f>
        <v>AAMC</v>
      </c>
      <c r="C1" s="2"/>
      <c r="D1" s="3"/>
    </row>
    <row r="2">
      <c r="A2" s="1" t="str">
        <f>IFERROR(__xludf.DUMMYFUNCTION("""COMPUTED_VALUE"""),"AAU")</f>
        <v>AAU</v>
      </c>
      <c r="C2" s="2"/>
      <c r="D2" s="3"/>
    </row>
    <row r="3">
      <c r="A3" s="1" t="str">
        <f>IFERROR(__xludf.DUMMYFUNCTION("""COMPUTED_VALUE"""),"ACU")</f>
        <v>ACU</v>
      </c>
      <c r="C3" s="2"/>
    </row>
    <row r="4">
      <c r="A4" s="1" t="str">
        <f>IFERROR(__xludf.DUMMYFUNCTION("""COMPUTED_VALUE"""),"ACY")</f>
        <v>ACY</v>
      </c>
      <c r="C4" s="2"/>
      <c r="D4" s="3"/>
    </row>
    <row r="5">
      <c r="A5" s="1" t="str">
        <f>IFERROR(__xludf.DUMMYFUNCTION("""COMPUTED_VALUE"""),"ADRA")</f>
        <v>ADRA</v>
      </c>
      <c r="C5" s="2"/>
      <c r="D5" s="3"/>
    </row>
    <row r="6">
      <c r="A6" s="1" t="str">
        <f>IFERROR(__xludf.DUMMYFUNCTION("""COMPUTED_VALUE"""),"AE")</f>
        <v>AE</v>
      </c>
      <c r="C6" s="2"/>
    </row>
    <row r="7">
      <c r="A7" s="1" t="str">
        <f>IFERROR(__xludf.DUMMYFUNCTION("""COMPUTED_VALUE"""),"AEF")</f>
        <v>AEF</v>
      </c>
      <c r="C7" s="2"/>
    </row>
    <row r="8">
      <c r="A8" s="1" t="str">
        <f>IFERROR(__xludf.DUMMYFUNCTION("""COMPUTED_VALUE"""),"AGE")</f>
        <v>AGE</v>
      </c>
      <c r="C8" s="2"/>
    </row>
    <row r="9">
      <c r="A9" s="1" t="str">
        <f>IFERROR(__xludf.DUMMYFUNCTION("""COMPUTED_VALUE"""),"AIM")</f>
        <v>AIM</v>
      </c>
      <c r="C9" s="2"/>
      <c r="D9" s="3"/>
    </row>
    <row r="10">
      <c r="A10" s="1" t="str">
        <f>IFERROR(__xludf.DUMMYFUNCTION("""COMPUTED_VALUE"""),"AINC")</f>
        <v>AINC</v>
      </c>
      <c r="C10" s="2"/>
      <c r="D10" s="3"/>
    </row>
    <row r="11">
      <c r="A11" s="1" t="str">
        <f>IFERROR(__xludf.DUMMYFUNCTION("""COMPUTED_VALUE"""),"AIRI")</f>
        <v>AIRI</v>
      </c>
      <c r="C11" s="2"/>
      <c r="D11" s="3"/>
    </row>
    <row r="12">
      <c r="A12" s="1" t="str">
        <f>IFERROR(__xludf.DUMMYFUNCTION("""COMPUTED_VALUE"""),"AMBO")</f>
        <v>AMBO</v>
      </c>
      <c r="C12" s="2"/>
      <c r="D12" s="3"/>
    </row>
    <row r="13">
      <c r="A13" s="1" t="str">
        <f>IFERROR(__xludf.DUMMYFUNCTION("""COMPUTED_VALUE"""),"AMPE")</f>
        <v>AMPE</v>
      </c>
      <c r="C13" s="2"/>
      <c r="D13" s="3"/>
    </row>
    <row r="14">
      <c r="A14" s="1" t="str">
        <f>IFERROR(__xludf.DUMMYFUNCTION("""COMPUTED_VALUE"""),"AMS")</f>
        <v>AMS</v>
      </c>
      <c r="C14" s="2"/>
      <c r="D14" s="3"/>
    </row>
    <row r="15">
      <c r="A15" s="1" t="str">
        <f>IFERROR(__xludf.DUMMYFUNCTION("""COMPUTED_VALUE"""),"ANVS")</f>
        <v>ANVS</v>
      </c>
      <c r="C15" s="2"/>
      <c r="D15" s="3"/>
    </row>
    <row r="16">
      <c r="A16" s="1" t="str">
        <f>IFERROR(__xludf.DUMMYFUNCTION("""COMPUTED_VALUE"""),"APT")</f>
        <v>APT</v>
      </c>
      <c r="C16" s="2"/>
    </row>
    <row r="17">
      <c r="A17" s="1" t="str">
        <f>IFERROR(__xludf.DUMMYFUNCTION("""COMPUTED_VALUE"""),"ARMP")</f>
        <v>ARMP</v>
      </c>
      <c r="C17" s="2"/>
      <c r="D17" s="3"/>
    </row>
    <row r="18">
      <c r="A18" s="1" t="str">
        <f>IFERROR(__xludf.DUMMYFUNCTION("""COMPUTED_VALUE"""),"ASM")</f>
        <v>ASM</v>
      </c>
      <c r="C18" s="2"/>
      <c r="D18" s="3"/>
    </row>
    <row r="19">
      <c r="A19" s="1" t="str">
        <f>IFERROR(__xludf.DUMMYFUNCTION("""COMPUTED_VALUE"""),"ASXC")</f>
        <v>ASXC</v>
      </c>
      <c r="C19" s="2"/>
    </row>
    <row r="20">
      <c r="A20" s="1" t="str">
        <f>IFERROR(__xludf.DUMMYFUNCTION("""COMPUTED_VALUE"""),"ATNM")</f>
        <v>ATNM</v>
      </c>
      <c r="C20" s="2"/>
      <c r="D20" s="3"/>
    </row>
    <row r="21">
      <c r="A21" s="1" t="str">
        <f>IFERROR(__xludf.DUMMYFUNCTION("""COMPUTED_VALUE"""),"AUMN")</f>
        <v>AUMN</v>
      </c>
      <c r="C21" s="2"/>
      <c r="D21" s="3"/>
    </row>
    <row r="22">
      <c r="A22" s="1" t="str">
        <f>IFERROR(__xludf.DUMMYFUNCTION("""COMPUTED_VALUE"""),"AWX")</f>
        <v>AWX</v>
      </c>
      <c r="C22" s="2"/>
      <c r="D22" s="3"/>
    </row>
    <row r="23">
      <c r="A23" s="1" t="str">
        <f>IFERROR(__xludf.DUMMYFUNCTION("""COMPUTED_VALUE"""),"AXU")</f>
        <v>AXU</v>
      </c>
      <c r="C23" s="2"/>
    </row>
    <row r="24">
      <c r="A24" s="1" t="str">
        <f>IFERROR(__xludf.DUMMYFUNCTION("""COMPUTED_VALUE"""),"BATL")</f>
        <v>BATL</v>
      </c>
      <c r="C24" s="2"/>
      <c r="D24" s="3"/>
    </row>
    <row r="25">
      <c r="A25" s="1" t="str">
        <f>IFERROR(__xludf.DUMMYFUNCTION("""COMPUTED_VALUE"""),"BCV")</f>
        <v>BCV</v>
      </c>
      <c r="C25" s="2"/>
      <c r="D25" s="3"/>
    </row>
    <row r="26">
      <c r="A26" s="1" t="str">
        <f>IFERROR(__xludf.DUMMYFUNCTION("""COMPUTED_VALUE"""),"BDL")</f>
        <v>BDL</v>
      </c>
      <c r="C26" s="2"/>
      <c r="D26" s="3"/>
    </row>
    <row r="27">
      <c r="A27" s="1" t="str">
        <f>IFERROR(__xludf.DUMMYFUNCTION("""COMPUTED_VALUE"""),"BDR")</f>
        <v>BDR</v>
      </c>
      <c r="C27" s="2"/>
    </row>
    <row r="28">
      <c r="A28" s="1" t="str">
        <f>IFERROR(__xludf.DUMMYFUNCTION("""COMPUTED_VALUE"""),"BGI")</f>
        <v>BGI</v>
      </c>
      <c r="C28" s="2"/>
      <c r="D28" s="3"/>
    </row>
    <row r="29">
      <c r="A29" s="1" t="str">
        <f>IFERROR(__xludf.DUMMYFUNCTION("""COMPUTED_VALUE"""),"BHB")</f>
        <v>BHB</v>
      </c>
      <c r="C29" s="2"/>
      <c r="D29" s="3"/>
    </row>
    <row r="30">
      <c r="A30" s="1" t="str">
        <f>IFERROR(__xludf.DUMMYFUNCTION("""COMPUTED_VALUE"""),"BKTI")</f>
        <v>BKTI</v>
      </c>
      <c r="C30" s="2"/>
      <c r="D30" s="3"/>
    </row>
    <row r="31">
      <c r="A31" s="1" t="str">
        <f>IFERROR(__xludf.DUMMYFUNCTION("""COMPUTED_VALUE"""),"BMTX")</f>
        <v>BMTX</v>
      </c>
      <c r="C31" s="2"/>
      <c r="D31" s="3"/>
    </row>
    <row r="32">
      <c r="A32" s="1" t="str">
        <f>IFERROR(__xludf.DUMMYFUNCTION("""COMPUTED_VALUE"""),"BRBS")</f>
        <v>BRBS</v>
      </c>
      <c r="C32" s="2"/>
      <c r="D32" s="3"/>
    </row>
    <row r="33">
      <c r="A33" s="1" t="str">
        <f>IFERROR(__xludf.DUMMYFUNCTION("""COMPUTED_VALUE"""),"BRG")</f>
        <v>BRG</v>
      </c>
      <c r="C33" s="2"/>
      <c r="D33" s="3"/>
    </row>
    <row r="34">
      <c r="A34" s="1" t="str">
        <f>IFERROR(__xludf.DUMMYFUNCTION("""COMPUTED_VALUE"""),"BRN")</f>
        <v>BRN</v>
      </c>
      <c r="C34" s="2"/>
      <c r="D34" s="3"/>
    </row>
    <row r="35">
      <c r="A35" s="1" t="str">
        <f>IFERROR(__xludf.DUMMYFUNCTION("""COMPUTED_VALUE"""),"BTG")</f>
        <v>BTG</v>
      </c>
      <c r="C35" s="2"/>
    </row>
    <row r="36">
      <c r="A36" s="1" t="str">
        <f>IFERROR(__xludf.DUMMYFUNCTION("""COMPUTED_VALUE"""),"BTN")</f>
        <v>BTN</v>
      </c>
      <c r="C36" s="2"/>
    </row>
    <row r="37">
      <c r="A37" s="1" t="str">
        <f>IFERROR(__xludf.DUMMYFUNCTION("""COMPUTED_VALUE"""),"BTTR")</f>
        <v>BTTR</v>
      </c>
      <c r="C37" s="2"/>
      <c r="D37" s="3"/>
    </row>
    <row r="38">
      <c r="A38" s="1" t="str">
        <f>IFERROR(__xludf.DUMMYFUNCTION("""COMPUTED_VALUE"""),"BTX")</f>
        <v>BTX</v>
      </c>
      <c r="C38" s="2"/>
    </row>
    <row r="39">
      <c r="A39" s="1" t="str">
        <f>IFERROR(__xludf.DUMMYFUNCTION("""COMPUTED_VALUE"""),"CANF")</f>
        <v>CANF</v>
      </c>
      <c r="C39" s="2"/>
      <c r="D39" s="3"/>
    </row>
    <row r="40">
      <c r="A40" s="1" t="str">
        <f>IFERROR(__xludf.DUMMYFUNCTION("""COMPUTED_VALUE"""),"CCF")</f>
        <v>CCF</v>
      </c>
      <c r="C40" s="2"/>
      <c r="D40" s="3"/>
    </row>
    <row r="41">
      <c r="A41" s="1" t="str">
        <f>IFERROR(__xludf.DUMMYFUNCTION("""COMPUTED_VALUE"""),"CDOR")</f>
        <v>CDOR</v>
      </c>
      <c r="C41" s="2"/>
      <c r="D41" s="3"/>
    </row>
    <row r="42">
      <c r="A42" s="1" t="str">
        <f>IFERROR(__xludf.DUMMYFUNCTION("""COMPUTED_VALUE"""),"CEI")</f>
        <v>CEI</v>
      </c>
      <c r="C42" s="2"/>
      <c r="D42" s="3"/>
    </row>
    <row r="43">
      <c r="A43" s="1" t="str">
        <f>IFERROR(__xludf.DUMMYFUNCTION("""COMPUTED_VALUE"""),"CET")</f>
        <v>CET</v>
      </c>
      <c r="C43" s="2"/>
      <c r="D43" s="3"/>
    </row>
    <row r="44">
      <c r="A44" s="1" t="str">
        <f>IFERROR(__xludf.DUMMYFUNCTION("""COMPUTED_VALUE"""),"CEV")</f>
        <v>CEV</v>
      </c>
      <c r="C44" s="2"/>
      <c r="D44" s="3"/>
    </row>
    <row r="45">
      <c r="A45" s="1" t="str">
        <f>IFERROR(__xludf.DUMMYFUNCTION("""COMPUTED_VALUE"""),"CHAQ")</f>
        <v>CHAQ</v>
      </c>
      <c r="C45" s="2"/>
      <c r="D45" s="3"/>
    </row>
    <row r="46">
      <c r="A46" s="1" t="str">
        <f>IFERROR(__xludf.DUMMYFUNCTION("""COMPUTED_VALUE"""),"CHFW")</f>
        <v>CHFW</v>
      </c>
      <c r="C46" s="2"/>
      <c r="D46" s="3"/>
    </row>
    <row r="47">
      <c r="A47" s="1" t="str">
        <f>IFERROR(__xludf.DUMMYFUNCTION("""COMPUTED_VALUE"""),"CIK")</f>
        <v>CIK</v>
      </c>
      <c r="C47" s="2"/>
      <c r="D47" s="3"/>
    </row>
    <row r="48">
      <c r="A48" s="1" t="str">
        <f>IFERROR(__xludf.DUMMYFUNCTION("""COMPUTED_VALUE"""),"CIX")</f>
        <v>CIX</v>
      </c>
      <c r="C48" s="2"/>
    </row>
    <row r="49">
      <c r="A49" s="1" t="str">
        <f>IFERROR(__xludf.DUMMYFUNCTION("""COMPUTED_VALUE"""),"CKX")</f>
        <v>CKX</v>
      </c>
      <c r="C49" s="2"/>
      <c r="D49" s="3"/>
    </row>
    <row r="50">
      <c r="A50" s="1" t="str">
        <f>IFERROR(__xludf.DUMMYFUNCTION("""COMPUTED_VALUE"""),"CLM")</f>
        <v>CLM</v>
      </c>
      <c r="C50" s="2"/>
      <c r="D50" s="3"/>
    </row>
    <row r="51">
      <c r="A51" s="1" t="str">
        <f>IFERROR(__xludf.DUMMYFUNCTION("""COMPUTED_VALUE"""),"CMCL")</f>
        <v>CMCL</v>
      </c>
      <c r="C51" s="2"/>
      <c r="D51" s="3"/>
    </row>
    <row r="52">
      <c r="A52" s="1" t="str">
        <f>IFERROR(__xludf.DUMMYFUNCTION("""COMPUTED_VALUE"""),"CMT")</f>
        <v>CMT</v>
      </c>
      <c r="C52" s="2"/>
    </row>
    <row r="53">
      <c r="A53" s="1" t="str">
        <f>IFERROR(__xludf.DUMMYFUNCTION("""COMPUTED_VALUE"""),"COHN")</f>
        <v>COHN</v>
      </c>
      <c r="C53" s="2"/>
      <c r="D53" s="3"/>
    </row>
    <row r="54">
      <c r="A54" s="1" t="str">
        <f>IFERROR(__xludf.DUMMYFUNCTION("""COMPUTED_VALUE"""),"CPHI")</f>
        <v>CPHI</v>
      </c>
      <c r="C54" s="2"/>
    </row>
    <row r="55">
      <c r="A55" s="1" t="str">
        <f>IFERROR(__xludf.DUMMYFUNCTION("""COMPUTED_VALUE"""),"CQP")</f>
        <v>CQP</v>
      </c>
      <c r="C55" s="2"/>
      <c r="D55" s="3"/>
    </row>
    <row r="56">
      <c r="A56" s="1" t="str">
        <f>IFERROR(__xludf.DUMMYFUNCTION("""COMPUTED_VALUE"""),"CRF")</f>
        <v>CRF</v>
      </c>
      <c r="C56" s="2"/>
      <c r="D56" s="3"/>
    </row>
    <row r="57">
      <c r="A57" s="1" t="str">
        <f>IFERROR(__xludf.DUMMYFUNCTION("""COMPUTED_VALUE"""),"CTEK")</f>
        <v>CTEK</v>
      </c>
      <c r="C57" s="2"/>
    </row>
    <row r="58">
      <c r="A58" s="1" t="str">
        <f>IFERROR(__xludf.DUMMYFUNCTION("""COMPUTED_VALUE"""),"CVM")</f>
        <v>CVM</v>
      </c>
      <c r="C58" s="2"/>
      <c r="D58" s="3"/>
    </row>
    <row r="59">
      <c r="A59" s="1" t="str">
        <f>IFERROR(__xludf.DUMMYFUNCTION("""COMPUTED_VALUE"""),"CVR")</f>
        <v>CVR</v>
      </c>
      <c r="C59" s="2"/>
      <c r="D59" s="3"/>
    </row>
    <row r="60">
      <c r="A60" s="1" t="str">
        <f>IFERROR(__xludf.DUMMYFUNCTION("""COMPUTED_VALUE"""),"CVU")</f>
        <v>CVU</v>
      </c>
      <c r="C60" s="2"/>
      <c r="D60" s="3"/>
    </row>
    <row r="61">
      <c r="A61" s="1" t="str">
        <f>IFERROR(__xludf.DUMMYFUNCTION("""COMPUTED_VALUE"""),"CYBN")</f>
        <v>CYBN</v>
      </c>
      <c r="C61" s="2"/>
    </row>
    <row r="62">
      <c r="A62" s="1" t="str">
        <f>IFERROR(__xludf.DUMMYFUNCTION("""COMPUTED_VALUE"""),"DHY")</f>
        <v>DHY</v>
      </c>
      <c r="C62" s="2"/>
      <c r="D62" s="3"/>
    </row>
    <row r="63">
      <c r="A63" s="1" t="str">
        <f>IFERROR(__xludf.DUMMYFUNCTION("""COMPUTED_VALUE"""),"DIT")</f>
        <v>DIT</v>
      </c>
      <c r="C63" s="2"/>
      <c r="D63" s="3"/>
    </row>
    <row r="64">
      <c r="A64" s="1" t="str">
        <f>IFERROR(__xludf.DUMMYFUNCTION("""COMPUTED_VALUE"""),"DLA")</f>
        <v>DLA</v>
      </c>
      <c r="C64" s="2"/>
      <c r="D64" s="3"/>
    </row>
    <row r="65">
      <c r="A65" s="1" t="str">
        <f>IFERROR(__xludf.DUMMYFUNCTION("""COMPUTED_VALUE"""),"DMF")</f>
        <v>DMF</v>
      </c>
      <c r="C65" s="2"/>
    </row>
    <row r="66">
      <c r="A66" s="1" t="str">
        <f>IFERROR(__xludf.DUMMYFUNCTION("""COMPUTED_VALUE"""),"DNN")</f>
        <v>DNN</v>
      </c>
      <c r="C66" s="2"/>
    </row>
    <row r="67">
      <c r="A67" s="1" t="str">
        <f>IFERROR(__xludf.DUMMYFUNCTION("""COMPUTED_VALUE"""),"DPW")</f>
        <v>DPW</v>
      </c>
      <c r="C67" s="2"/>
    </row>
    <row r="68">
      <c r="A68" s="1" t="str">
        <f>IFERROR(__xludf.DUMMYFUNCTION("""COMPUTED_VALUE"""),"DSS")</f>
        <v>DSS</v>
      </c>
      <c r="C68" s="2"/>
      <c r="D68" s="3"/>
    </row>
    <row r="69">
      <c r="A69" s="1" t="str">
        <f>IFERROR(__xludf.DUMMYFUNCTION("""COMPUTED_VALUE"""),"DXF")</f>
        <v>DXF</v>
      </c>
      <c r="C69" s="2"/>
      <c r="D69" s="3"/>
    </row>
    <row r="70">
      <c r="A70" s="1" t="str">
        <f>IFERROR(__xludf.DUMMYFUNCTION("""COMPUTED_VALUE"""),"DXR")</f>
        <v>DXR</v>
      </c>
      <c r="C70" s="2"/>
      <c r="D70" s="3"/>
    </row>
    <row r="71">
      <c r="A71" s="1" t="str">
        <f>IFERROR(__xludf.DUMMYFUNCTION("""COMPUTED_VALUE"""),"EAD")</f>
        <v>EAD</v>
      </c>
      <c r="C71" s="2"/>
    </row>
    <row r="72">
      <c r="A72" s="1" t="str">
        <f>IFERROR(__xludf.DUMMYFUNCTION("""COMPUTED_VALUE"""),"ECF")</f>
        <v>ECF</v>
      </c>
      <c r="C72" s="2"/>
    </row>
    <row r="73">
      <c r="A73" s="1" t="str">
        <f>IFERROR(__xludf.DUMMYFUNCTION("""COMPUTED_VALUE"""),"EIM")</f>
        <v>EIM</v>
      </c>
      <c r="C73" s="2"/>
      <c r="D73" s="3"/>
    </row>
    <row r="74">
      <c r="A74" s="1" t="str">
        <f>IFERROR(__xludf.DUMMYFUNCTION("""COMPUTED_VALUE"""),"ELA")</f>
        <v>ELA</v>
      </c>
      <c r="C74" s="2"/>
      <c r="D74" s="3"/>
    </row>
    <row r="75">
      <c r="A75" s="1" t="str">
        <f>IFERROR(__xludf.DUMMYFUNCTION("""COMPUTED_VALUE"""),"ELLO")</f>
        <v>ELLO</v>
      </c>
      <c r="C75" s="2"/>
      <c r="D75" s="3"/>
    </row>
    <row r="76">
      <c r="A76" s="1" t="str">
        <f>IFERROR(__xludf.DUMMYFUNCTION("""COMPUTED_VALUE"""),"ELMD")</f>
        <v>ELMD</v>
      </c>
      <c r="C76" s="2"/>
      <c r="D76" s="3"/>
    </row>
    <row r="77">
      <c r="A77" s="1" t="str">
        <f>IFERROR(__xludf.DUMMYFUNCTION("""COMPUTED_VALUE"""),"EMAN")</f>
        <v>EMAN</v>
      </c>
      <c r="C77" s="2"/>
      <c r="D77" s="3"/>
    </row>
    <row r="78">
      <c r="A78" s="1" t="str">
        <f>IFERROR(__xludf.DUMMYFUNCTION("""COMPUTED_VALUE"""),"EMX")</f>
        <v>EMX</v>
      </c>
      <c r="C78" s="2"/>
      <c r="D78" s="3"/>
    </row>
    <row r="79">
      <c r="A79" s="1" t="str">
        <f>IFERROR(__xludf.DUMMYFUNCTION("""COMPUTED_VALUE"""),"ENSV")</f>
        <v>ENSV</v>
      </c>
      <c r="C79" s="2"/>
      <c r="D79" s="3"/>
    </row>
    <row r="80">
      <c r="A80" s="1" t="str">
        <f>IFERROR(__xludf.DUMMYFUNCTION("""COMPUTED_VALUE"""),"ENX")</f>
        <v>ENX</v>
      </c>
      <c r="C80" s="2"/>
      <c r="D80" s="3"/>
    </row>
    <row r="81">
      <c r="A81" s="1" t="str">
        <f>IFERROR(__xludf.DUMMYFUNCTION("""COMPUTED_VALUE"""),"EPM")</f>
        <v>EPM</v>
      </c>
      <c r="C81" s="2"/>
      <c r="D81" s="3"/>
    </row>
    <row r="82">
      <c r="A82" s="1" t="str">
        <f>IFERROR(__xludf.DUMMYFUNCTION("""COMPUTED_VALUE"""),"EQX")</f>
        <v>EQX</v>
      </c>
      <c r="C82" s="2"/>
      <c r="D82" s="3"/>
    </row>
    <row r="83">
      <c r="A83" s="1" t="str">
        <f>IFERROR(__xludf.DUMMYFUNCTION("""COMPUTED_VALUE"""),"ERC")</f>
        <v>ERC</v>
      </c>
      <c r="C83" s="2"/>
      <c r="D83" s="3"/>
    </row>
    <row r="84">
      <c r="A84" s="1" t="str">
        <f>IFERROR(__xludf.DUMMYFUNCTION("""COMPUTED_VALUE"""),"ERH")</f>
        <v>ERH</v>
      </c>
      <c r="C84" s="2"/>
      <c r="D84" s="3"/>
    </row>
    <row r="85">
      <c r="A85" s="1" t="str">
        <f>IFERROR(__xludf.DUMMYFUNCTION("""COMPUTED_VALUE"""),"ESP")</f>
        <v>ESP</v>
      </c>
      <c r="C85" s="2"/>
      <c r="D85" s="3"/>
    </row>
    <row r="86">
      <c r="A86" s="1" t="str">
        <f>IFERROR(__xludf.DUMMYFUNCTION("""COMPUTED_VALUE"""),"EVBN")</f>
        <v>EVBN</v>
      </c>
      <c r="C86" s="2"/>
      <c r="D86" s="3"/>
    </row>
    <row r="87">
      <c r="A87" s="1" t="str">
        <f>IFERROR(__xludf.DUMMYFUNCTION("""COMPUTED_VALUE"""),"EVI")</f>
        <v>EVI</v>
      </c>
      <c r="C87" s="2"/>
      <c r="D87" s="3"/>
    </row>
    <row r="88">
      <c r="A88" s="1" t="str">
        <f>IFERROR(__xludf.DUMMYFUNCTION("""COMPUTED_VALUE"""),"EVM")</f>
        <v>EVM</v>
      </c>
      <c r="C88" s="2"/>
      <c r="D88" s="3"/>
    </row>
    <row r="89">
      <c r="A89" s="1" t="str">
        <f>IFERROR(__xludf.DUMMYFUNCTION("""COMPUTED_VALUE"""),"EVV")</f>
        <v>EVV</v>
      </c>
      <c r="C89" s="2"/>
    </row>
    <row r="90">
      <c r="A90" s="1" t="str">
        <f>IFERROR(__xludf.DUMMYFUNCTION("""COMPUTED_VALUE"""),"EVY")</f>
        <v>EVY</v>
      </c>
      <c r="C90" s="2"/>
      <c r="D90" s="3"/>
    </row>
    <row r="91">
      <c r="A91" s="1" t="str">
        <f>IFERROR(__xludf.DUMMYFUNCTION("""COMPUTED_VALUE"""),"EXN")</f>
        <v>EXN</v>
      </c>
      <c r="C91" s="2"/>
      <c r="D91" s="3"/>
    </row>
    <row r="92">
      <c r="A92" s="1" t="str">
        <f>IFERROR(__xludf.DUMMYFUNCTION("""COMPUTED_VALUE"""),"FAX")</f>
        <v>FAX</v>
      </c>
      <c r="C92" s="2"/>
      <c r="D92" s="3"/>
    </row>
    <row r="93">
      <c r="A93" s="1" t="str">
        <f>IFERROR(__xludf.DUMMYFUNCTION("""COMPUTED_VALUE"""),"FCO")</f>
        <v>FCO</v>
      </c>
      <c r="C93" s="2"/>
      <c r="D93" s="3"/>
    </row>
    <row r="94">
      <c r="A94" s="1" t="str">
        <f>IFERROR(__xludf.DUMMYFUNCTION("""COMPUTED_VALUE"""),"FEN")</f>
        <v>FEN</v>
      </c>
      <c r="C94" s="2"/>
    </row>
    <row r="95">
      <c r="A95" s="1" t="str">
        <f>IFERROR(__xludf.DUMMYFUNCTION("""COMPUTED_VALUE"""),"FRD")</f>
        <v>FRD</v>
      </c>
      <c r="C95" s="2"/>
      <c r="D95" s="3"/>
    </row>
    <row r="96">
      <c r="A96" s="1" t="str">
        <f>IFERROR(__xludf.DUMMYFUNCTION("""COMPUTED_VALUE"""),"FSI")</f>
        <v>FSI</v>
      </c>
      <c r="C96" s="2"/>
      <c r="D96" s="3"/>
    </row>
    <row r="97">
      <c r="A97" s="1" t="str">
        <f>IFERROR(__xludf.DUMMYFUNCTION("""COMPUTED_VALUE"""),"FSP")</f>
        <v>FSP</v>
      </c>
      <c r="C97" s="2"/>
    </row>
    <row r="98">
      <c r="A98" s="1" t="str">
        <f>IFERROR(__xludf.DUMMYFUNCTION("""COMPUTED_VALUE"""),"FTF")</f>
        <v>FTF</v>
      </c>
      <c r="C98" s="2"/>
    </row>
    <row r="99">
      <c r="A99" s="1" t="str">
        <f>IFERROR(__xludf.DUMMYFUNCTION("""COMPUTED_VALUE"""),"FTSI")</f>
        <v>FTSI</v>
      </c>
      <c r="C99" s="2"/>
    </row>
    <row r="100">
      <c r="A100" s="1" t="str">
        <f>IFERROR(__xludf.DUMMYFUNCTION("""COMPUTED_VALUE"""),"FURY")</f>
        <v>FURY</v>
      </c>
      <c r="C100" s="2"/>
      <c r="D100" s="3"/>
    </row>
    <row r="101">
      <c r="A101" s="1" t="str">
        <f>IFERROR(__xludf.DUMMYFUNCTION("""COMPUTED_VALUE"""),"GAU")</f>
        <v>GAU</v>
      </c>
    </row>
    <row r="102">
      <c r="A102" s="1" t="str">
        <f>IFERROR(__xludf.DUMMYFUNCTION("""COMPUTED_VALUE"""),"GBR")</f>
        <v>GBR</v>
      </c>
    </row>
    <row r="103">
      <c r="A103" s="1" t="str">
        <f>IFERROR(__xludf.DUMMYFUNCTION("""COMPUTED_VALUE"""),"GDP")</f>
        <v>GDP</v>
      </c>
    </row>
    <row r="104">
      <c r="A104" s="1" t="str">
        <f>IFERROR(__xludf.DUMMYFUNCTION("""COMPUTED_VALUE"""),"GGN")</f>
        <v>GGN</v>
      </c>
    </row>
    <row r="105">
      <c r="A105" s="1" t="str">
        <f>IFERROR(__xludf.DUMMYFUNCTION("""COMPUTED_VALUE"""),"GLDG")</f>
        <v>GLDG</v>
      </c>
    </row>
    <row r="106">
      <c r="A106" s="1" t="str">
        <f>IFERROR(__xludf.DUMMYFUNCTION("""COMPUTED_VALUE"""),"GLO")</f>
        <v>GLO</v>
      </c>
    </row>
    <row r="107">
      <c r="A107" s="1" t="str">
        <f>IFERROR(__xludf.DUMMYFUNCTION("""COMPUTED_VALUE"""),"GLQ")</f>
        <v>GLQ</v>
      </c>
    </row>
    <row r="108">
      <c r="A108" s="1" t="str">
        <f>IFERROR(__xludf.DUMMYFUNCTION("""COMPUTED_VALUE"""),"GLU")</f>
        <v>GLU</v>
      </c>
    </row>
    <row r="109">
      <c r="A109" s="1" t="str">
        <f>IFERROR(__xludf.DUMMYFUNCTION("""COMPUTED_VALUE"""),"GLV")</f>
        <v>GLV</v>
      </c>
    </row>
    <row r="110">
      <c r="A110" s="1" t="str">
        <f>IFERROR(__xludf.DUMMYFUNCTION("""COMPUTED_VALUE"""),"GOED")</f>
        <v>GOED</v>
      </c>
    </row>
    <row r="111">
      <c r="A111" s="1" t="str">
        <f>IFERROR(__xludf.DUMMYFUNCTION("""COMPUTED_VALUE"""),"GORO")</f>
        <v>GORO</v>
      </c>
    </row>
    <row r="112">
      <c r="A112" s="1" t="str">
        <f>IFERROR(__xludf.DUMMYFUNCTION("""COMPUTED_VALUE"""),"GPL")</f>
        <v>GPL</v>
      </c>
    </row>
    <row r="113">
      <c r="A113" s="1" t="str">
        <f>IFERROR(__xludf.DUMMYFUNCTION("""COMPUTED_VALUE"""),"GRF")</f>
        <v>GRF</v>
      </c>
    </row>
    <row r="114">
      <c r="A114" s="1" t="str">
        <f>IFERROR(__xludf.DUMMYFUNCTION("""COMPUTED_VALUE"""),"GROY")</f>
        <v>GROY</v>
      </c>
    </row>
    <row r="115">
      <c r="A115" s="1" t="str">
        <f>IFERROR(__xludf.DUMMYFUNCTION("""COMPUTED_VALUE"""),"GSAT")</f>
        <v>GSAT</v>
      </c>
    </row>
    <row r="116">
      <c r="A116" s="1" t="str">
        <f>IFERROR(__xludf.DUMMYFUNCTION("""COMPUTED_VALUE"""),"GSS")</f>
        <v>GSS</v>
      </c>
    </row>
    <row r="117">
      <c r="A117" s="1" t="str">
        <f>IFERROR(__xludf.DUMMYFUNCTION("""COMPUTED_VALUE"""),"GSV")</f>
        <v>GSV</v>
      </c>
    </row>
    <row r="118">
      <c r="A118" s="1" t="str">
        <f>IFERROR(__xludf.DUMMYFUNCTION("""COMPUTED_VALUE"""),"GTE")</f>
        <v>GTE</v>
      </c>
    </row>
    <row r="119">
      <c r="A119" s="1" t="str">
        <f>IFERROR(__xludf.DUMMYFUNCTION("""COMPUTED_VALUE"""),"HMG")</f>
        <v>HMG</v>
      </c>
    </row>
    <row r="120">
      <c r="A120" s="1" t="str">
        <f>IFERROR(__xludf.DUMMYFUNCTION("""COMPUTED_VALUE"""),"HNW")</f>
        <v>HNW</v>
      </c>
    </row>
    <row r="121">
      <c r="A121" s="1" t="str">
        <f>IFERROR(__xludf.DUMMYFUNCTION("""COMPUTED_VALUE"""),"HUSA")</f>
        <v>HUSA</v>
      </c>
    </row>
    <row r="122">
      <c r="A122" s="1" t="str">
        <f>IFERROR(__xludf.DUMMYFUNCTION("""COMPUTED_VALUE"""),"IAF")</f>
        <v>IAF</v>
      </c>
    </row>
    <row r="123">
      <c r="A123" s="1" t="str">
        <f>IFERROR(__xludf.DUMMYFUNCTION("""COMPUTED_VALUE"""),"IBIO")</f>
        <v>IBIO</v>
      </c>
    </row>
    <row r="124">
      <c r="A124" s="1" t="str">
        <f>IFERROR(__xludf.DUMMYFUNCTION("""COMPUTED_VALUE"""),"ID")</f>
        <v>ID</v>
      </c>
    </row>
    <row r="125">
      <c r="A125" s="1" t="str">
        <f>IFERROR(__xludf.DUMMYFUNCTION("""COMPUTED_VALUE"""),"IDW")</f>
        <v>IDW</v>
      </c>
    </row>
    <row r="126">
      <c r="A126" s="1" t="str">
        <f>IFERROR(__xludf.DUMMYFUNCTION("""COMPUTED_VALUE"""),"IGC")</f>
        <v>IGC</v>
      </c>
    </row>
    <row r="127">
      <c r="A127" s="1" t="str">
        <f>IFERROR(__xludf.DUMMYFUNCTION("""COMPUTED_VALUE"""),"IHT")</f>
        <v>IHT</v>
      </c>
    </row>
    <row r="128">
      <c r="A128" s="1" t="str">
        <f>IFERROR(__xludf.DUMMYFUNCTION("""COMPUTED_VALUE"""),"IMH")</f>
        <v>IMH</v>
      </c>
    </row>
    <row r="129">
      <c r="A129" s="1" t="str">
        <f>IFERROR(__xludf.DUMMYFUNCTION("""COMPUTED_VALUE"""),"IMO")</f>
        <v>IMO</v>
      </c>
    </row>
    <row r="130">
      <c r="A130" s="1" t="str">
        <f>IFERROR(__xludf.DUMMYFUNCTION("""COMPUTED_VALUE"""),"INDO")</f>
        <v>INDO</v>
      </c>
    </row>
    <row r="131">
      <c r="A131" s="1" t="str">
        <f>IFERROR(__xludf.DUMMYFUNCTION("""COMPUTED_VALUE"""),"INFU")</f>
        <v>INFU</v>
      </c>
    </row>
    <row r="132">
      <c r="A132" s="1" t="str">
        <f>IFERROR(__xludf.DUMMYFUNCTION("""COMPUTED_VALUE"""),"INTT")</f>
        <v>INTT</v>
      </c>
    </row>
    <row r="133">
      <c r="A133" s="1" t="str">
        <f>IFERROR(__xludf.DUMMYFUNCTION("""COMPUTED_VALUE"""),"INUV")</f>
        <v>INUV</v>
      </c>
    </row>
    <row r="134">
      <c r="A134" s="1" t="str">
        <f>IFERROR(__xludf.DUMMYFUNCTION("""COMPUTED_VALUE"""),"IOR")</f>
        <v>IOR</v>
      </c>
    </row>
    <row r="135">
      <c r="A135" s="1" t="str">
        <f>IFERROR(__xludf.DUMMYFUNCTION("""COMPUTED_VALUE"""),"ISDR")</f>
        <v>ISDR</v>
      </c>
    </row>
    <row r="136">
      <c r="A136" s="1" t="str">
        <f>IFERROR(__xludf.DUMMYFUNCTION("""COMPUTED_VALUE"""),"ISR")</f>
        <v>ISR</v>
      </c>
    </row>
    <row r="137">
      <c r="A137" s="1" t="str">
        <f>IFERROR(__xludf.DUMMYFUNCTION("""COMPUTED_VALUE"""),"ITP")</f>
        <v>ITP</v>
      </c>
    </row>
    <row r="138">
      <c r="A138" s="1" t="str">
        <f>IFERROR(__xludf.DUMMYFUNCTION("""COMPUTED_VALUE"""),"ITRG")</f>
        <v>ITRG</v>
      </c>
    </row>
    <row r="139">
      <c r="A139" s="1" t="str">
        <f>IFERROR(__xludf.DUMMYFUNCTION("""COMPUTED_VALUE"""),"JOB")</f>
        <v>JOB</v>
      </c>
    </row>
    <row r="140">
      <c r="A140" s="1" t="str">
        <f>IFERROR(__xludf.DUMMYFUNCTION("""COMPUTED_VALUE"""),"KIQ")</f>
        <v>KIQ</v>
      </c>
    </row>
    <row r="141">
      <c r="A141" s="1" t="str">
        <f>IFERROR(__xludf.DUMMYFUNCTION("""COMPUTED_VALUE"""),"KLR")</f>
        <v>KLR</v>
      </c>
    </row>
    <row r="142">
      <c r="A142" s="1" t="str">
        <f>IFERROR(__xludf.DUMMYFUNCTION("""COMPUTED_VALUE"""),"KULR")</f>
        <v>KULR</v>
      </c>
    </row>
    <row r="143">
      <c r="A143" s="1" t="str">
        <f>IFERROR(__xludf.DUMMYFUNCTION("""COMPUTED_VALUE"""),"LCTX")</f>
        <v>LCTX</v>
      </c>
    </row>
    <row r="144">
      <c r="A144" s="1" t="str">
        <f>IFERROR(__xludf.DUMMYFUNCTION("""COMPUTED_VALUE"""),"LEU")</f>
        <v>LEU</v>
      </c>
    </row>
    <row r="145">
      <c r="A145" s="1" t="str">
        <f>IFERROR(__xludf.DUMMYFUNCTION("""COMPUTED_VALUE"""),"LGL")</f>
        <v>LGL</v>
      </c>
    </row>
    <row r="146">
      <c r="A146" s="1" t="str">
        <f>IFERROR(__xludf.DUMMYFUNCTION("""COMPUTED_VALUE"""),"LNG")</f>
        <v>LNG</v>
      </c>
    </row>
    <row r="147">
      <c r="A147" s="1" t="str">
        <f>IFERROR(__xludf.DUMMYFUNCTION("""COMPUTED_VALUE"""),"LODE")</f>
        <v>LODE</v>
      </c>
    </row>
    <row r="148">
      <c r="A148" s="1" t="str">
        <f>IFERROR(__xludf.DUMMYFUNCTION("""COMPUTED_VALUE"""),"LOV")</f>
        <v>LOV</v>
      </c>
    </row>
    <row r="149">
      <c r="A149" s="1" t="str">
        <f>IFERROR(__xludf.DUMMYFUNCTION("""COMPUTED_VALUE"""),"LSF")</f>
        <v>LSF</v>
      </c>
    </row>
    <row r="150">
      <c r="A150" s="1" t="str">
        <f>IFERROR(__xludf.DUMMYFUNCTION("""COMPUTED_VALUE"""),"LXFR")</f>
        <v>LXFR</v>
      </c>
    </row>
    <row r="151">
      <c r="A151" s="1" t="str">
        <f>IFERROR(__xludf.DUMMYFUNCTION("""COMPUTED_VALUE"""),"MAG")</f>
        <v>MAG</v>
      </c>
    </row>
    <row r="152">
      <c r="A152" s="1" t="str">
        <f>IFERROR(__xludf.DUMMYFUNCTION("""COMPUTED_VALUE"""),"MCF")</f>
        <v>MCF</v>
      </c>
    </row>
    <row r="153">
      <c r="A153" s="1" t="str">
        <f>IFERROR(__xludf.DUMMYFUNCTION("""COMPUTED_VALUE"""),"MHH")</f>
        <v>MHH</v>
      </c>
    </row>
    <row r="154">
      <c r="A154" s="1" t="str">
        <f>IFERROR(__xludf.DUMMYFUNCTION("""COMPUTED_VALUE"""),"MITQ")</f>
        <v>MITQ</v>
      </c>
    </row>
    <row r="155">
      <c r="A155" s="1" t="str">
        <f>IFERROR(__xludf.DUMMYFUNCTION("""COMPUTED_VALUE"""),"MLSS")</f>
        <v>MLSS</v>
      </c>
    </row>
    <row r="156">
      <c r="A156" s="1" t="str">
        <f>IFERROR(__xludf.DUMMYFUNCTION("""COMPUTED_VALUE"""),"MMX")</f>
        <v>MMX</v>
      </c>
    </row>
    <row r="157">
      <c r="A157" s="1" t="str">
        <f>IFERROR(__xludf.DUMMYFUNCTION("""COMPUTED_VALUE"""),"MSN")</f>
        <v>MSN</v>
      </c>
    </row>
    <row r="158">
      <c r="A158" s="1" t="str">
        <f>IFERROR(__xludf.DUMMYFUNCTION("""COMPUTED_VALUE"""),"MTA")</f>
        <v>MTA</v>
      </c>
    </row>
    <row r="159">
      <c r="A159" s="1" t="str">
        <f>IFERROR(__xludf.DUMMYFUNCTION("""COMPUTED_VALUE"""),"MTNB")</f>
        <v>MTNB</v>
      </c>
    </row>
    <row r="160">
      <c r="A160" s="1" t="str">
        <f>IFERROR(__xludf.DUMMYFUNCTION("""COMPUTED_VALUE"""),"MXC")</f>
        <v>MXC</v>
      </c>
    </row>
    <row r="161">
      <c r="A161" s="1" t="str">
        <f>IFERROR(__xludf.DUMMYFUNCTION("""COMPUTED_VALUE"""),"MYO")</f>
        <v>MYO</v>
      </c>
    </row>
    <row r="162">
      <c r="A162" s="1" t="str">
        <f>IFERROR(__xludf.DUMMYFUNCTION("""COMPUTED_VALUE"""),"NAK")</f>
        <v>NAK</v>
      </c>
    </row>
    <row r="163">
      <c r="A163" s="1" t="str">
        <f>IFERROR(__xludf.DUMMYFUNCTION("""COMPUTED_VALUE"""),"NAVB")</f>
        <v>NAVB</v>
      </c>
    </row>
    <row r="164">
      <c r="A164" s="1" t="str">
        <f>IFERROR(__xludf.DUMMYFUNCTION("""COMPUTED_VALUE"""),"NBA")</f>
        <v>NBA</v>
      </c>
    </row>
    <row r="165">
      <c r="A165" s="1" t="str">
        <f>IFERROR(__xludf.DUMMYFUNCTION("""COMPUTED_VALUE"""),"NBH")</f>
        <v>NBH</v>
      </c>
    </row>
    <row r="166">
      <c r="A166" s="1" t="str">
        <f>IFERROR(__xludf.DUMMYFUNCTION("""COMPUTED_VALUE"""),"NBO")</f>
        <v>NBO</v>
      </c>
    </row>
    <row r="167">
      <c r="A167" s="1" t="str">
        <f>IFERROR(__xludf.DUMMYFUNCTION("""COMPUTED_VALUE"""),"NBW")</f>
        <v>NBW</v>
      </c>
    </row>
    <row r="168">
      <c r="A168" s="1" t="str">
        <f>IFERROR(__xludf.DUMMYFUNCTION("""COMPUTED_VALUE"""),"NBY")</f>
        <v>NBY</v>
      </c>
    </row>
    <row r="169">
      <c r="A169" s="1" t="str">
        <f>IFERROR(__xludf.DUMMYFUNCTION("""COMPUTED_VALUE"""),"NEN")</f>
        <v>NEN</v>
      </c>
    </row>
    <row r="170">
      <c r="A170" s="1" t="str">
        <f>IFERROR(__xludf.DUMMYFUNCTION("""COMPUTED_VALUE"""),"NES")</f>
        <v>NES</v>
      </c>
    </row>
    <row r="171">
      <c r="A171" s="1" t="str">
        <f>IFERROR(__xludf.DUMMYFUNCTION("""COMPUTED_VALUE"""),"NEWP")</f>
        <v>NEWP</v>
      </c>
    </row>
    <row r="172">
      <c r="A172" s="1" t="str">
        <f>IFERROR(__xludf.DUMMYFUNCTION("""COMPUTED_VALUE"""),"NG")</f>
        <v>NG</v>
      </c>
    </row>
    <row r="173">
      <c r="A173" s="1" t="str">
        <f>IFERROR(__xludf.DUMMYFUNCTION("""COMPUTED_VALUE"""),"NGD")</f>
        <v>NGD</v>
      </c>
    </row>
    <row r="174">
      <c r="A174" s="1" t="str">
        <f>IFERROR(__xludf.DUMMYFUNCTION("""COMPUTED_VALUE"""),"NHC")</f>
        <v>NHC</v>
      </c>
    </row>
    <row r="175">
      <c r="A175" s="1" t="str">
        <f>IFERROR(__xludf.DUMMYFUNCTION("""COMPUTED_VALUE"""),"NHS")</f>
        <v>NHS</v>
      </c>
    </row>
    <row r="176">
      <c r="A176" s="1" t="str">
        <f>IFERROR(__xludf.DUMMYFUNCTION("""COMPUTED_VALUE"""),"NML")</f>
        <v>NML</v>
      </c>
    </row>
    <row r="177">
      <c r="A177" s="1" t="str">
        <f>IFERROR(__xludf.DUMMYFUNCTION("""COMPUTED_VALUE"""),"NNVC")</f>
        <v>NNVC</v>
      </c>
    </row>
    <row r="178">
      <c r="A178" s="1" t="str">
        <f>IFERROR(__xludf.DUMMYFUNCTION("""COMPUTED_VALUE"""),"NOG")</f>
        <v>NOG</v>
      </c>
    </row>
    <row r="179">
      <c r="A179" s="1" t="str">
        <f>IFERROR(__xludf.DUMMYFUNCTION("""COMPUTED_VALUE"""),"NRO")</f>
        <v>NRO</v>
      </c>
    </row>
    <row r="180">
      <c r="A180" s="1" t="str">
        <f>IFERROR(__xludf.DUMMYFUNCTION("""COMPUTED_VALUE"""),"NTIP")</f>
        <v>NTIP</v>
      </c>
    </row>
    <row r="181">
      <c r="A181" s="1" t="str">
        <f>IFERROR(__xludf.DUMMYFUNCTION("""COMPUTED_VALUE"""),"NXE")</f>
        <v>NXE</v>
      </c>
    </row>
    <row r="182">
      <c r="A182" s="1" t="str">
        <f>IFERROR(__xludf.DUMMYFUNCTION("""COMPUTED_VALUE"""),"OGEN")</f>
        <v>OGEN</v>
      </c>
    </row>
    <row r="183">
      <c r="A183" s="1" t="str">
        <f>IFERROR(__xludf.DUMMYFUNCTION("""COMPUTED_VALUE"""),"OPTT")</f>
        <v>OPTT</v>
      </c>
    </row>
    <row r="184">
      <c r="A184" s="1" t="str">
        <f>IFERROR(__xludf.DUMMYFUNCTION("""COMPUTED_VALUE"""),"ORLA")</f>
        <v>ORLA</v>
      </c>
    </row>
    <row r="185">
      <c r="A185" s="1" t="str">
        <f>IFERROR(__xludf.DUMMYFUNCTION("""COMPUTED_VALUE"""),"PED")</f>
        <v>PED</v>
      </c>
    </row>
    <row r="186">
      <c r="A186" s="1" t="str">
        <f>IFERROR(__xludf.DUMMYFUNCTION("""COMPUTED_VALUE"""),"PHGE")</f>
        <v>PHGE</v>
      </c>
    </row>
    <row r="187">
      <c r="A187" s="1" t="str">
        <f>IFERROR(__xludf.DUMMYFUNCTION("""COMPUTED_VALUE"""),"PLAG")</f>
        <v>PLAG</v>
      </c>
    </row>
    <row r="188">
      <c r="A188" s="1" t="str">
        <f>IFERROR(__xludf.DUMMYFUNCTION("""COMPUTED_VALUE"""),"PLG")</f>
        <v>PLG</v>
      </c>
    </row>
    <row r="189">
      <c r="A189" s="1" t="str">
        <f>IFERROR(__xludf.DUMMYFUNCTION("""COMPUTED_VALUE"""),"PLM")</f>
        <v>PLM</v>
      </c>
    </row>
    <row r="190">
      <c r="A190" s="1" t="str">
        <f>IFERROR(__xludf.DUMMYFUNCTION("""COMPUTED_VALUE"""),"PLX")</f>
        <v>PLX</v>
      </c>
    </row>
    <row r="191">
      <c r="A191" s="1" t="str">
        <f>IFERROR(__xludf.DUMMYFUNCTION("""COMPUTED_VALUE"""),"PRK")</f>
        <v>PRK</v>
      </c>
    </row>
    <row r="192">
      <c r="A192" s="1" t="str">
        <f>IFERROR(__xludf.DUMMYFUNCTION("""COMPUTED_VALUE"""),"PTK")</f>
        <v>PTK</v>
      </c>
    </row>
    <row r="193">
      <c r="A193" s="1" t="str">
        <f>IFERROR(__xludf.DUMMYFUNCTION("""COMPUTED_VALUE"""),"PTN")</f>
        <v>PTN</v>
      </c>
    </row>
    <row r="194">
      <c r="A194" s="1" t="str">
        <f>IFERROR(__xludf.DUMMYFUNCTION("""COMPUTED_VALUE"""),"PW")</f>
        <v>PW</v>
      </c>
    </row>
    <row r="195">
      <c r="A195" s="1" t="str">
        <f>IFERROR(__xludf.DUMMYFUNCTION("""COMPUTED_VALUE"""),"PZG")</f>
        <v>PZG</v>
      </c>
    </row>
    <row r="196">
      <c r="A196" s="1" t="str">
        <f>IFERROR(__xludf.DUMMYFUNCTION("""COMPUTED_VALUE"""),"RCG")</f>
        <v>RCG</v>
      </c>
    </row>
    <row r="197">
      <c r="A197" s="1" t="str">
        <f>IFERROR(__xludf.DUMMYFUNCTION("""COMPUTED_VALUE"""),"REI")</f>
        <v>REI</v>
      </c>
    </row>
    <row r="198">
      <c r="A198" s="1" t="str">
        <f>IFERROR(__xludf.DUMMYFUNCTION("""COMPUTED_VALUE"""),"REPX")</f>
        <v>REPX</v>
      </c>
    </row>
    <row r="199">
      <c r="A199" s="1" t="str">
        <f>IFERROR(__xludf.DUMMYFUNCTION("""COMPUTED_VALUE"""),"RHE")</f>
        <v>RHE</v>
      </c>
    </row>
    <row r="200">
      <c r="A200" s="1" t="str">
        <f>IFERROR(__xludf.DUMMYFUNCTION("""COMPUTED_VALUE"""),"RLGT")</f>
        <v>RLGT</v>
      </c>
    </row>
    <row r="201">
      <c r="A201" s="1" t="str">
        <f>IFERROR(__xludf.DUMMYFUNCTION("""COMPUTED_VALUE"""),"RMED")</f>
        <v>RMED</v>
      </c>
    </row>
    <row r="202">
      <c r="A202" s="1" t="str">
        <f>IFERROR(__xludf.DUMMYFUNCTION("""COMPUTED_VALUE"""),"RVP")</f>
        <v>RVP</v>
      </c>
    </row>
    <row r="203">
      <c r="A203" s="1" t="str">
        <f>IFERROR(__xludf.DUMMYFUNCTION("""COMPUTED_VALUE"""),"SACC")</f>
        <v>SACC</v>
      </c>
    </row>
    <row r="204">
      <c r="A204" s="1" t="str">
        <f>IFERROR(__xludf.DUMMYFUNCTION("""COMPUTED_VALUE"""),"SACH")</f>
        <v>SACH</v>
      </c>
    </row>
    <row r="205">
      <c r="A205" s="1" t="str">
        <f>IFERROR(__xludf.DUMMYFUNCTION("""COMPUTED_VALUE"""),"SBEV")</f>
        <v>SBEV</v>
      </c>
    </row>
    <row r="206">
      <c r="A206" s="1" t="str">
        <f>IFERROR(__xludf.DUMMYFUNCTION("""COMPUTED_VALUE"""),"SCCB")</f>
        <v>SCCB</v>
      </c>
    </row>
    <row r="207">
      <c r="A207" s="1" t="str">
        <f>IFERROR(__xludf.DUMMYFUNCTION("""COMPUTED_VALUE"""),"SCCC")</f>
        <v>SCCC</v>
      </c>
    </row>
    <row r="208">
      <c r="A208" s="1" t="str">
        <f>IFERROR(__xludf.DUMMYFUNCTION("""COMPUTED_VALUE"""),"SDPI")</f>
        <v>SDPI</v>
      </c>
    </row>
    <row r="209">
      <c r="A209" s="1" t="str">
        <f>IFERROR(__xludf.DUMMYFUNCTION("""COMPUTED_VALUE"""),"SEB")</f>
        <v>SEB</v>
      </c>
    </row>
    <row r="210">
      <c r="A210" s="1" t="str">
        <f>IFERROR(__xludf.DUMMYFUNCTION("""COMPUTED_VALUE"""),"SENS")</f>
        <v>SENS</v>
      </c>
    </row>
    <row r="211">
      <c r="A211" s="1" t="str">
        <f>IFERROR(__xludf.DUMMYFUNCTION("""COMPUTED_VALUE"""),"SIF")</f>
        <v>SIF</v>
      </c>
    </row>
    <row r="212">
      <c r="A212" s="1" t="str">
        <f>IFERROR(__xludf.DUMMYFUNCTION("""COMPUTED_VALUE"""),"SILV")</f>
        <v>SILV</v>
      </c>
    </row>
    <row r="213">
      <c r="A213" s="1" t="str">
        <f>IFERROR(__xludf.DUMMYFUNCTION("""COMPUTED_VALUE"""),"SIM")</f>
        <v>SIM</v>
      </c>
    </row>
    <row r="214">
      <c r="A214" s="1" t="str">
        <f>IFERROR(__xludf.DUMMYFUNCTION("""COMPUTED_VALUE"""),"SLI")</f>
        <v>SLI</v>
      </c>
    </row>
    <row r="215">
      <c r="A215" s="1" t="str">
        <f>IFERROR(__xludf.DUMMYFUNCTION("""COMPUTED_VALUE"""),"SMTS")</f>
        <v>SMTS</v>
      </c>
    </row>
    <row r="216">
      <c r="A216" s="1" t="str">
        <f>IFERROR(__xludf.DUMMYFUNCTION("""COMPUTED_VALUE"""),"SNMP")</f>
        <v>SNMP</v>
      </c>
    </row>
    <row r="217">
      <c r="A217" s="1" t="str">
        <f>IFERROR(__xludf.DUMMYFUNCTION("""COMPUTED_VALUE"""),"SSY")</f>
        <v>SSY</v>
      </c>
    </row>
    <row r="218">
      <c r="A218" s="1" t="str">
        <f>IFERROR(__xludf.DUMMYFUNCTION("""COMPUTED_VALUE"""),"STXS")</f>
        <v>STXS</v>
      </c>
    </row>
    <row r="219">
      <c r="A219" s="1" t="str">
        <f>IFERROR(__xludf.DUMMYFUNCTION("""COMPUTED_VALUE"""),"SVM")</f>
        <v>SVM</v>
      </c>
    </row>
    <row r="220">
      <c r="A220" s="1" t="str">
        <f>IFERROR(__xludf.DUMMYFUNCTION("""COMPUTED_VALUE"""),"SVT")</f>
        <v>SVT</v>
      </c>
    </row>
    <row r="221">
      <c r="A221" s="1" t="str">
        <f>IFERROR(__xludf.DUMMYFUNCTION("""COMPUTED_VALUE"""),"SYN")</f>
        <v>SYN</v>
      </c>
    </row>
    <row r="222">
      <c r="A222" s="1" t="str">
        <f>IFERROR(__xludf.DUMMYFUNCTION("""COMPUTED_VALUE"""),"TGB")</f>
        <v>TGB</v>
      </c>
    </row>
    <row r="223">
      <c r="A223" s="1" t="str">
        <f>IFERROR(__xludf.DUMMYFUNCTION("""COMPUTED_VALUE"""),"THM")</f>
        <v>THM</v>
      </c>
    </row>
    <row r="224">
      <c r="A224" s="1" t="str">
        <f>IFERROR(__xludf.DUMMYFUNCTION("""COMPUTED_VALUE"""),"TKAT")</f>
        <v>TKAT</v>
      </c>
    </row>
    <row r="225">
      <c r="A225" s="1" t="str">
        <f>IFERROR(__xludf.DUMMYFUNCTION("""COMPUTED_VALUE"""),"TMBR")</f>
        <v>TMBR</v>
      </c>
    </row>
    <row r="226">
      <c r="A226" s="1" t="str">
        <f>IFERROR(__xludf.DUMMYFUNCTION("""COMPUTED_VALUE"""),"TMP")</f>
        <v>TMP</v>
      </c>
    </row>
    <row r="227">
      <c r="A227" s="1" t="str">
        <f>IFERROR(__xludf.DUMMYFUNCTION("""COMPUTED_VALUE"""),"TMQ")</f>
        <v>TMQ</v>
      </c>
    </row>
    <row r="228">
      <c r="A228" s="1" t="str">
        <f>IFERROR(__xludf.DUMMYFUNCTION("""COMPUTED_VALUE"""),"TPHS")</f>
        <v>TPHS</v>
      </c>
    </row>
    <row r="229">
      <c r="A229" s="1" t="str">
        <f>IFERROR(__xludf.DUMMYFUNCTION("""COMPUTED_VALUE"""),"TRT")</f>
        <v>TRT</v>
      </c>
    </row>
    <row r="230">
      <c r="A230" s="1" t="str">
        <f>IFERROR(__xludf.DUMMYFUNCTION("""COMPUTED_VALUE"""),"TRX")</f>
        <v>TRX</v>
      </c>
    </row>
    <row r="231">
      <c r="A231" s="1" t="str">
        <f>IFERROR(__xludf.DUMMYFUNCTION("""COMPUTED_VALUE"""),"UAMY")</f>
        <v>UAMY</v>
      </c>
    </row>
    <row r="232">
      <c r="A232" s="1" t="str">
        <f>IFERROR(__xludf.DUMMYFUNCTION("""COMPUTED_VALUE"""),"UAVS")</f>
        <v>UAVS</v>
      </c>
    </row>
    <row r="233">
      <c r="A233" s="1" t="str">
        <f>IFERROR(__xludf.DUMMYFUNCTION("""COMPUTED_VALUE"""),"UEC")</f>
        <v>UEC</v>
      </c>
    </row>
    <row r="234">
      <c r="A234" s="1" t="str">
        <f>IFERROR(__xludf.DUMMYFUNCTION("""COMPUTED_VALUE"""),"UFAB")</f>
        <v>UFAB</v>
      </c>
    </row>
    <row r="235">
      <c r="A235" s="1" t="str">
        <f>IFERROR(__xludf.DUMMYFUNCTION("""COMPUTED_VALUE"""),"URG")</f>
        <v>URG</v>
      </c>
    </row>
    <row r="236">
      <c r="A236" s="1" t="str">
        <f>IFERROR(__xludf.DUMMYFUNCTION("""COMPUTED_VALUE"""),"USAS")</f>
        <v>USAS</v>
      </c>
    </row>
    <row r="237">
      <c r="A237" s="1" t="str">
        <f>IFERROR(__xludf.DUMMYFUNCTION("""COMPUTED_VALUE"""),"UTG")</f>
        <v>UTG</v>
      </c>
    </row>
    <row r="238">
      <c r="A238" s="1" t="str">
        <f>IFERROR(__xludf.DUMMYFUNCTION("""COMPUTED_VALUE"""),"UUU")</f>
        <v>UUU</v>
      </c>
    </row>
    <row r="239">
      <c r="A239" s="1" t="str">
        <f>IFERROR(__xludf.DUMMYFUNCTION("""COMPUTED_VALUE"""),"UUUU")</f>
        <v>UUUU</v>
      </c>
    </row>
    <row r="240">
      <c r="A240" s="1" t="str">
        <f>IFERROR(__xludf.DUMMYFUNCTION("""COMPUTED_VALUE"""),"VCF")</f>
        <v>VCF</v>
      </c>
    </row>
    <row r="241">
      <c r="A241" s="1" t="str">
        <f>IFERROR(__xludf.DUMMYFUNCTION("""COMPUTED_VALUE"""),"VFL")</f>
        <v>VFL</v>
      </c>
    </row>
    <row r="242">
      <c r="A242" s="1" t="str">
        <f>IFERROR(__xludf.DUMMYFUNCTION("""COMPUTED_VALUE"""),"VGZ")</f>
        <v>VGZ</v>
      </c>
    </row>
    <row r="243">
      <c r="A243" s="1" t="str">
        <f>IFERROR(__xludf.DUMMYFUNCTION("""COMPUTED_VALUE"""),"VHAQ")</f>
        <v>VHAQ</v>
      </c>
    </row>
    <row r="244">
      <c r="A244" s="1" t="str">
        <f>IFERROR(__xludf.DUMMYFUNCTION("""COMPUTED_VALUE"""),"VKI")</f>
        <v>VKI</v>
      </c>
    </row>
    <row r="245">
      <c r="A245" s="1" t="str">
        <f>IFERROR(__xludf.DUMMYFUNCTION("""COMPUTED_VALUE"""),"VMM")</f>
        <v>VMM</v>
      </c>
    </row>
    <row r="246">
      <c r="A246" s="1" t="str">
        <f>IFERROR(__xludf.DUMMYFUNCTION("""COMPUTED_VALUE"""),"VNRX")</f>
        <v>VNRX</v>
      </c>
    </row>
    <row r="247">
      <c r="A247" s="1" t="str">
        <f>IFERROR(__xludf.DUMMYFUNCTION("""COMPUTED_VALUE"""),"VOLT")</f>
        <v>VOLT</v>
      </c>
    </row>
    <row r="248">
      <c r="A248" s="1" t="str">
        <f>IFERROR(__xludf.DUMMYFUNCTION("""COMPUTED_VALUE"""),"WLMS")</f>
        <v>WLMS</v>
      </c>
    </row>
    <row r="249">
      <c r="A249" s="1" t="str">
        <f>IFERROR(__xludf.DUMMYFUNCTION("""COMPUTED_VALUE"""),"WRN")</f>
        <v>WRN</v>
      </c>
    </row>
    <row r="250">
      <c r="A250" s="1" t="str">
        <f>IFERROR(__xludf.DUMMYFUNCTION("""COMPUTED_VALUE"""),"WTT")</f>
        <v>WTT</v>
      </c>
    </row>
    <row r="251">
      <c r="A251" s="1" t="str">
        <f>IFERROR(__xludf.DUMMYFUNCTION("""COMPUTED_VALUE"""),"WWR")</f>
        <v>WWR</v>
      </c>
    </row>
    <row r="252">
      <c r="A252" s="1" t="str">
        <f>IFERROR(__xludf.DUMMYFUNCTION("""COMPUTED_VALUE"""),"WYY")</f>
        <v>WYY</v>
      </c>
    </row>
    <row r="253">
      <c r="A253" s="1" t="str">
        <f>IFERROR(__xludf.DUMMYFUNCTION("""COMPUTED_VALUE"""),"XPL")</f>
        <v>XPL</v>
      </c>
    </row>
    <row r="254">
      <c r="A254" s="1" t="str">
        <f>IFERROR(__xludf.DUMMYFUNCTION("""COMPUTED_VALUE"""),"XTNT")</f>
        <v>XTNT</v>
      </c>
    </row>
    <row r="255">
      <c r="A255" s="1" t="str">
        <f>IFERROR(__xludf.DUMMYFUNCTION("""COMPUTED_VALUE"""),"XXII")</f>
        <v>XXII</v>
      </c>
    </row>
    <row r="256">
      <c r="A256" s="1" t="str">
        <f>IFERROR(__xludf.DUMMYFUNCTION("""COMPUTED_VALUE"""),"YCBD")</f>
        <v>YCBD</v>
      </c>
    </row>
    <row r="257">
      <c r="A257" s="1" t="str">
        <f>IFERROR(__xludf.DUMMYFUNCTION("""COMPUTED_VALUE"""),"ZDGE")</f>
        <v>ZDGE</v>
      </c>
    </row>
    <row r="258">
      <c r="A258" s="1" t="str">
        <f>IFERROR(__xludf.DUMMYFUNCTION("""COMPUTED_VALUE"""),"ZOM")</f>
        <v>ZOM</v>
      </c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</sheetData>
  <conditionalFormatting sqref="A1:A1000">
    <cfRule type="expression" dxfId="0" priority="1">
      <formula>countif(A:A,A1)&gt;1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0</v>
      </c>
      <c r="B1" s="4" t="s">
        <v>1</v>
      </c>
    </row>
    <row r="2">
      <c r="A2" s="4" t="s">
        <v>2</v>
      </c>
      <c r="B2" s="4" t="s">
        <v>3</v>
      </c>
    </row>
    <row r="3">
      <c r="A3" s="4" t="s">
        <v>4</v>
      </c>
      <c r="B3" s="4" t="s">
        <v>5</v>
      </c>
    </row>
    <row r="4">
      <c r="A4" s="4" t="s">
        <v>6</v>
      </c>
      <c r="B4" s="4" t="s">
        <v>7</v>
      </c>
    </row>
    <row r="5">
      <c r="A5" s="4" t="s">
        <v>8</v>
      </c>
      <c r="B5" s="4" t="s">
        <v>9</v>
      </c>
    </row>
    <row r="6">
      <c r="A6" s="4" t="s">
        <v>10</v>
      </c>
      <c r="B6" s="4" t="s">
        <v>11</v>
      </c>
    </row>
    <row r="7">
      <c r="A7" s="4" t="s">
        <v>12</v>
      </c>
      <c r="B7" s="4" t="s">
        <v>13</v>
      </c>
    </row>
    <row r="8">
      <c r="A8" s="4" t="s">
        <v>14</v>
      </c>
      <c r="B8" s="4" t="s">
        <v>15</v>
      </c>
    </row>
    <row r="9">
      <c r="A9" s="4" t="s">
        <v>16</v>
      </c>
      <c r="B9" s="4" t="s">
        <v>17</v>
      </c>
    </row>
    <row r="10">
      <c r="A10" s="4" t="s">
        <v>18</v>
      </c>
      <c r="B10" s="4" t="s">
        <v>19</v>
      </c>
    </row>
    <row r="11">
      <c r="A11" s="4" t="s">
        <v>20</v>
      </c>
      <c r="B11" s="4" t="s">
        <v>21</v>
      </c>
    </row>
    <row r="12">
      <c r="A12" s="4" t="s">
        <v>22</v>
      </c>
      <c r="B12" s="4" t="s">
        <v>23</v>
      </c>
    </row>
    <row r="13">
      <c r="A13" s="4" t="s">
        <v>24</v>
      </c>
      <c r="B13" s="4" t="s">
        <v>25</v>
      </c>
    </row>
    <row r="14">
      <c r="A14" s="4" t="s">
        <v>26</v>
      </c>
      <c r="B14" s="4" t="s">
        <v>27</v>
      </c>
    </row>
    <row r="15">
      <c r="A15" s="4" t="s">
        <v>28</v>
      </c>
      <c r="B15" s="4" t="s">
        <v>29</v>
      </c>
    </row>
    <row r="16">
      <c r="A16" s="4" t="s">
        <v>30</v>
      </c>
      <c r="B16" s="4" t="s">
        <v>31</v>
      </c>
    </row>
    <row r="17">
      <c r="A17" s="4" t="s">
        <v>32</v>
      </c>
      <c r="B17" s="4" t="s">
        <v>33</v>
      </c>
    </row>
    <row r="18">
      <c r="A18" s="4" t="s">
        <v>34</v>
      </c>
      <c r="B18" s="4" t="s">
        <v>35</v>
      </c>
    </row>
    <row r="19">
      <c r="A19" s="4" t="s">
        <v>36</v>
      </c>
      <c r="B19" s="4" t="s">
        <v>37</v>
      </c>
    </row>
    <row r="20">
      <c r="A20" s="4" t="s">
        <v>38</v>
      </c>
      <c r="B20" s="4" t="s">
        <v>39</v>
      </c>
    </row>
    <row r="21">
      <c r="A21" s="4" t="s">
        <v>40</v>
      </c>
      <c r="B21" s="4" t="s">
        <v>41</v>
      </c>
    </row>
    <row r="22">
      <c r="A22" s="4" t="s">
        <v>42</v>
      </c>
      <c r="B22" s="4" t="s">
        <v>43</v>
      </c>
    </row>
    <row r="23">
      <c r="A23" s="4" t="s">
        <v>44</v>
      </c>
      <c r="B23" s="4" t="s">
        <v>45</v>
      </c>
    </row>
    <row r="24">
      <c r="A24" s="4" t="s">
        <v>46</v>
      </c>
      <c r="B24" s="4" t="s">
        <v>47</v>
      </c>
    </row>
    <row r="25">
      <c r="A25" s="4" t="s">
        <v>48</v>
      </c>
      <c r="B25" s="4" t="s">
        <v>49</v>
      </c>
    </row>
    <row r="26">
      <c r="A26" s="4" t="s">
        <v>50</v>
      </c>
      <c r="B26" s="4" t="s">
        <v>51</v>
      </c>
    </row>
    <row r="27">
      <c r="A27" s="4" t="s">
        <v>52</v>
      </c>
      <c r="B27" s="4" t="s">
        <v>53</v>
      </c>
    </row>
    <row r="28">
      <c r="A28" s="4" t="s">
        <v>54</v>
      </c>
      <c r="B28" s="4" t="s">
        <v>55</v>
      </c>
    </row>
    <row r="29">
      <c r="A29" s="4" t="s">
        <v>56</v>
      </c>
      <c r="B29" s="4" t="s">
        <v>57</v>
      </c>
    </row>
    <row r="30">
      <c r="A30" s="4" t="s">
        <v>58</v>
      </c>
      <c r="B30" s="4" t="s">
        <v>59</v>
      </c>
    </row>
    <row r="31">
      <c r="A31" s="4" t="s">
        <v>60</v>
      </c>
      <c r="B31" s="4" t="s">
        <v>61</v>
      </c>
    </row>
    <row r="32">
      <c r="A32" s="4" t="s">
        <v>62</v>
      </c>
      <c r="B32" s="4" t="s">
        <v>63</v>
      </c>
    </row>
    <row r="33">
      <c r="A33" s="4" t="s">
        <v>64</v>
      </c>
      <c r="B33" s="4" t="s">
        <v>65</v>
      </c>
    </row>
    <row r="34">
      <c r="A34" s="4" t="s">
        <v>66</v>
      </c>
      <c r="B34" s="4" t="s">
        <v>67</v>
      </c>
    </row>
    <row r="35">
      <c r="A35" s="4" t="s">
        <v>68</v>
      </c>
      <c r="B35" s="4" t="s">
        <v>69</v>
      </c>
    </row>
    <row r="36">
      <c r="A36" s="4" t="s">
        <v>70</v>
      </c>
      <c r="B36" s="4" t="s">
        <v>71</v>
      </c>
    </row>
    <row r="37">
      <c r="A37" s="4" t="s">
        <v>72</v>
      </c>
      <c r="B37" s="4" t="s">
        <v>73</v>
      </c>
    </row>
    <row r="38">
      <c r="A38" s="4" t="s">
        <v>74</v>
      </c>
      <c r="B38" s="4" t="s">
        <v>75</v>
      </c>
    </row>
    <row r="39">
      <c r="A39" s="4" t="s">
        <v>76</v>
      </c>
      <c r="B39" s="4" t="s">
        <v>77</v>
      </c>
    </row>
    <row r="40">
      <c r="A40" s="4" t="s">
        <v>78</v>
      </c>
      <c r="B40" s="4" t="s">
        <v>79</v>
      </c>
    </row>
    <row r="41">
      <c r="A41" s="4" t="s">
        <v>80</v>
      </c>
      <c r="B41" s="4" t="s">
        <v>81</v>
      </c>
    </row>
    <row r="42">
      <c r="A42" s="4" t="s">
        <v>82</v>
      </c>
      <c r="B42" s="4" t="s">
        <v>83</v>
      </c>
    </row>
    <row r="43">
      <c r="A43" s="4" t="s">
        <v>84</v>
      </c>
      <c r="B43" s="4" t="s">
        <v>85</v>
      </c>
    </row>
    <row r="44">
      <c r="A44" s="4" t="s">
        <v>86</v>
      </c>
      <c r="B44" s="4" t="s">
        <v>87</v>
      </c>
    </row>
    <row r="45">
      <c r="A45" s="4" t="s">
        <v>88</v>
      </c>
      <c r="B45" s="4" t="s">
        <v>89</v>
      </c>
    </row>
    <row r="46">
      <c r="A46" s="4" t="s">
        <v>90</v>
      </c>
      <c r="B46" s="4" t="s">
        <v>91</v>
      </c>
    </row>
    <row r="47">
      <c r="A47" s="4" t="s">
        <v>92</v>
      </c>
      <c r="B47" s="4" t="s">
        <v>93</v>
      </c>
    </row>
    <row r="48">
      <c r="A48" s="4" t="s">
        <v>94</v>
      </c>
      <c r="B48" s="4" t="s">
        <v>95</v>
      </c>
    </row>
    <row r="49">
      <c r="A49" s="4" t="s">
        <v>96</v>
      </c>
      <c r="B49" s="4" t="s">
        <v>97</v>
      </c>
    </row>
    <row r="50">
      <c r="A50" s="4" t="s">
        <v>98</v>
      </c>
      <c r="B50" s="4" t="s">
        <v>99</v>
      </c>
    </row>
    <row r="51">
      <c r="A51" s="4" t="s">
        <v>100</v>
      </c>
      <c r="B51" s="4" t="s">
        <v>101</v>
      </c>
    </row>
    <row r="52">
      <c r="A52" s="4" t="s">
        <v>102</v>
      </c>
      <c r="B52" s="4" t="s">
        <v>103</v>
      </c>
    </row>
    <row r="53">
      <c r="A53" s="4" t="s">
        <v>104</v>
      </c>
      <c r="B53" s="4" t="s">
        <v>105</v>
      </c>
    </row>
    <row r="54">
      <c r="A54" s="4" t="s">
        <v>106</v>
      </c>
      <c r="B54" s="4" t="s">
        <v>107</v>
      </c>
    </row>
    <row r="55">
      <c r="A55" s="4" t="s">
        <v>108</v>
      </c>
      <c r="B55" s="4" t="s">
        <v>109</v>
      </c>
    </row>
    <row r="56">
      <c r="A56" s="4" t="s">
        <v>110</v>
      </c>
      <c r="B56" s="4" t="s">
        <v>111</v>
      </c>
    </row>
    <row r="57">
      <c r="A57" s="4" t="s">
        <v>112</v>
      </c>
      <c r="B57" s="4" t="s">
        <v>113</v>
      </c>
    </row>
    <row r="58">
      <c r="A58" s="4" t="s">
        <v>114</v>
      </c>
      <c r="B58" s="4" t="s">
        <v>115</v>
      </c>
    </row>
    <row r="59">
      <c r="A59" s="4" t="s">
        <v>116</v>
      </c>
      <c r="B59" s="4" t="s">
        <v>117</v>
      </c>
    </row>
    <row r="60">
      <c r="A60" s="4" t="s">
        <v>118</v>
      </c>
      <c r="B60" s="4" t="s">
        <v>119</v>
      </c>
    </row>
    <row r="61">
      <c r="A61" s="4" t="s">
        <v>120</v>
      </c>
      <c r="B61" s="4" t="s">
        <v>121</v>
      </c>
    </row>
    <row r="62">
      <c r="A62" s="4" t="s">
        <v>122</v>
      </c>
      <c r="B62" s="4" t="s">
        <v>123</v>
      </c>
    </row>
    <row r="63">
      <c r="A63" s="4" t="s">
        <v>124</v>
      </c>
      <c r="B63" s="4" t="s">
        <v>125</v>
      </c>
    </row>
    <row r="64">
      <c r="A64" s="4" t="s">
        <v>126</v>
      </c>
      <c r="B64" s="4" t="s">
        <v>127</v>
      </c>
    </row>
    <row r="65">
      <c r="A65" s="4" t="s">
        <v>128</v>
      </c>
      <c r="B65" s="4" t="s">
        <v>129</v>
      </c>
    </row>
    <row r="66">
      <c r="A66" s="4" t="s">
        <v>130</v>
      </c>
      <c r="B66" s="4" t="s">
        <v>131</v>
      </c>
    </row>
    <row r="67">
      <c r="A67" s="4" t="s">
        <v>132</v>
      </c>
      <c r="B67" s="4" t="s">
        <v>133</v>
      </c>
    </row>
    <row r="68">
      <c r="A68" s="4" t="s">
        <v>134</v>
      </c>
      <c r="B68" s="4" t="s">
        <v>135</v>
      </c>
    </row>
    <row r="69">
      <c r="A69" s="4" t="s">
        <v>136</v>
      </c>
      <c r="B69" s="4" t="s">
        <v>137</v>
      </c>
    </row>
    <row r="70">
      <c r="A70" s="4" t="s">
        <v>138</v>
      </c>
      <c r="B70" s="4" t="s">
        <v>139</v>
      </c>
    </row>
    <row r="71">
      <c r="A71" s="4" t="s">
        <v>140</v>
      </c>
      <c r="B71" s="4" t="s">
        <v>141</v>
      </c>
    </row>
    <row r="72">
      <c r="A72" s="4" t="s">
        <v>142</v>
      </c>
      <c r="B72" s="4" t="s">
        <v>143</v>
      </c>
    </row>
    <row r="73">
      <c r="A73" s="4" t="s">
        <v>144</v>
      </c>
      <c r="B73" s="4" t="s">
        <v>145</v>
      </c>
    </row>
    <row r="74">
      <c r="A74" s="4" t="s">
        <v>146</v>
      </c>
      <c r="B74" s="4" t="s">
        <v>147</v>
      </c>
    </row>
    <row r="75">
      <c r="A75" s="4" t="s">
        <v>148</v>
      </c>
      <c r="B75" s="4" t="s">
        <v>149</v>
      </c>
    </row>
    <row r="76">
      <c r="A76" s="4" t="s">
        <v>150</v>
      </c>
      <c r="B76" s="4" t="s">
        <v>151</v>
      </c>
    </row>
    <row r="77">
      <c r="A77" s="4" t="s">
        <v>152</v>
      </c>
      <c r="B77" s="4" t="s">
        <v>153</v>
      </c>
    </row>
    <row r="78">
      <c r="A78" s="4" t="s">
        <v>154</v>
      </c>
      <c r="B78" s="4" t="s">
        <v>155</v>
      </c>
    </row>
    <row r="79">
      <c r="A79" s="4" t="s">
        <v>156</v>
      </c>
      <c r="B79" s="4" t="s">
        <v>157</v>
      </c>
    </row>
    <row r="80">
      <c r="A80" s="4" t="s">
        <v>158</v>
      </c>
      <c r="B80" s="4" t="s">
        <v>159</v>
      </c>
    </row>
    <row r="81">
      <c r="A81" s="4" t="s">
        <v>160</v>
      </c>
      <c r="B81" s="4" t="s">
        <v>161</v>
      </c>
    </row>
    <row r="82">
      <c r="A82" s="4" t="s">
        <v>162</v>
      </c>
      <c r="B82" s="4" t="s">
        <v>163</v>
      </c>
    </row>
    <row r="83">
      <c r="A83" s="4" t="s">
        <v>164</v>
      </c>
      <c r="B83" s="4" t="s">
        <v>165</v>
      </c>
    </row>
    <row r="84">
      <c r="A84" s="4" t="s">
        <v>166</v>
      </c>
      <c r="B84" s="4" t="s">
        <v>167</v>
      </c>
    </row>
    <row r="85">
      <c r="A85" s="4" t="s">
        <v>168</v>
      </c>
      <c r="B85" s="4" t="s">
        <v>169</v>
      </c>
    </row>
    <row r="86">
      <c r="A86" s="4" t="s">
        <v>170</v>
      </c>
      <c r="B86" s="4" t="s">
        <v>171</v>
      </c>
    </row>
    <row r="87">
      <c r="A87" s="4" t="s">
        <v>172</v>
      </c>
      <c r="B87" s="4" t="s">
        <v>173</v>
      </c>
    </row>
    <row r="88">
      <c r="A88" s="4" t="s">
        <v>174</v>
      </c>
      <c r="B88" s="4" t="s">
        <v>175</v>
      </c>
    </row>
    <row r="89">
      <c r="A89" s="4" t="s">
        <v>176</v>
      </c>
      <c r="B89" s="4" t="s">
        <v>177</v>
      </c>
    </row>
    <row r="90">
      <c r="A90" s="4" t="s">
        <v>178</v>
      </c>
      <c r="B90" s="4" t="s">
        <v>179</v>
      </c>
    </row>
    <row r="91">
      <c r="A91" s="4" t="s">
        <v>180</v>
      </c>
      <c r="B91" s="4" t="s">
        <v>181</v>
      </c>
    </row>
    <row r="92">
      <c r="A92" s="4" t="s">
        <v>182</v>
      </c>
      <c r="B92" s="4" t="s">
        <v>183</v>
      </c>
    </row>
    <row r="93">
      <c r="A93" s="4" t="s">
        <v>184</v>
      </c>
      <c r="B93" s="4" t="s">
        <v>185</v>
      </c>
    </row>
    <row r="94">
      <c r="A94" s="4" t="s">
        <v>186</v>
      </c>
      <c r="B94" s="4" t="s">
        <v>187</v>
      </c>
    </row>
    <row r="95">
      <c r="A95" s="4" t="s">
        <v>188</v>
      </c>
      <c r="B95" s="4" t="s">
        <v>189</v>
      </c>
    </row>
    <row r="96">
      <c r="A96" s="4" t="s">
        <v>190</v>
      </c>
      <c r="B96" s="4" t="s">
        <v>191</v>
      </c>
    </row>
    <row r="97">
      <c r="A97" s="4" t="s">
        <v>192</v>
      </c>
      <c r="B97" s="4" t="s">
        <v>193</v>
      </c>
    </row>
    <row r="98">
      <c r="A98" s="4" t="s">
        <v>194</v>
      </c>
      <c r="B98" s="4" t="s">
        <v>195</v>
      </c>
    </row>
    <row r="99">
      <c r="A99" s="4" t="s">
        <v>196</v>
      </c>
      <c r="B99" s="4" t="s">
        <v>197</v>
      </c>
    </row>
    <row r="100">
      <c r="A100" s="4" t="s">
        <v>198</v>
      </c>
      <c r="B100" s="4" t="s">
        <v>199</v>
      </c>
    </row>
    <row r="101">
      <c r="A101" s="4" t="s">
        <v>200</v>
      </c>
      <c r="B101" s="4" t="s">
        <v>201</v>
      </c>
    </row>
    <row r="102">
      <c r="A102" s="4" t="s">
        <v>202</v>
      </c>
      <c r="B102" s="4" t="s">
        <v>203</v>
      </c>
    </row>
    <row r="103">
      <c r="A103" s="4" t="s">
        <v>204</v>
      </c>
      <c r="B103" s="4" t="s">
        <v>205</v>
      </c>
    </row>
    <row r="104">
      <c r="A104" s="4" t="s">
        <v>206</v>
      </c>
      <c r="B104" s="4" t="s">
        <v>207</v>
      </c>
    </row>
    <row r="105">
      <c r="A105" s="4" t="s">
        <v>208</v>
      </c>
      <c r="B105" s="4" t="s">
        <v>209</v>
      </c>
    </row>
    <row r="106">
      <c r="A106" s="4" t="s">
        <v>210</v>
      </c>
      <c r="B106" s="4" t="s">
        <v>211</v>
      </c>
    </row>
    <row r="107">
      <c r="A107" s="4" t="s">
        <v>212</v>
      </c>
      <c r="B107" s="4" t="s">
        <v>213</v>
      </c>
    </row>
    <row r="108">
      <c r="A108" s="4" t="s">
        <v>214</v>
      </c>
      <c r="B108" s="4" t="s">
        <v>215</v>
      </c>
    </row>
    <row r="109">
      <c r="A109" s="4" t="s">
        <v>216</v>
      </c>
      <c r="B109" s="4" t="s">
        <v>217</v>
      </c>
    </row>
    <row r="110">
      <c r="A110" s="4" t="s">
        <v>218</v>
      </c>
      <c r="B110" s="4" t="s">
        <v>219</v>
      </c>
    </row>
    <row r="111">
      <c r="A111" s="4" t="s">
        <v>220</v>
      </c>
      <c r="B111" s="4" t="s">
        <v>221</v>
      </c>
    </row>
    <row r="112">
      <c r="A112" s="4" t="s">
        <v>222</v>
      </c>
      <c r="B112" s="4" t="s">
        <v>223</v>
      </c>
    </row>
    <row r="113">
      <c r="A113" s="4" t="s">
        <v>224</v>
      </c>
      <c r="B113" s="4" t="s">
        <v>225</v>
      </c>
    </row>
    <row r="114">
      <c r="A114" s="4" t="s">
        <v>226</v>
      </c>
      <c r="B114" s="4" t="s">
        <v>227</v>
      </c>
    </row>
    <row r="115">
      <c r="A115" s="4" t="s">
        <v>228</v>
      </c>
      <c r="B115" s="4" t="s">
        <v>229</v>
      </c>
    </row>
    <row r="116">
      <c r="A116" s="4" t="s">
        <v>230</v>
      </c>
      <c r="B116" s="4" t="s">
        <v>231</v>
      </c>
    </row>
    <row r="117">
      <c r="A117" s="4" t="s">
        <v>232</v>
      </c>
      <c r="B117" s="4" t="s">
        <v>233</v>
      </c>
    </row>
    <row r="118">
      <c r="A118" s="4" t="s">
        <v>234</v>
      </c>
      <c r="B118" s="4" t="s">
        <v>235</v>
      </c>
    </row>
    <row r="119">
      <c r="A119" s="4" t="s">
        <v>236</v>
      </c>
      <c r="B119" s="4" t="s">
        <v>237</v>
      </c>
    </row>
    <row r="120">
      <c r="A120" s="4" t="s">
        <v>238</v>
      </c>
      <c r="B120" s="4" t="s">
        <v>239</v>
      </c>
    </row>
    <row r="121">
      <c r="A121" s="4" t="s">
        <v>240</v>
      </c>
      <c r="B121" s="4" t="s">
        <v>241</v>
      </c>
    </row>
    <row r="122">
      <c r="A122" s="4" t="s">
        <v>242</v>
      </c>
      <c r="B122" s="4" t="s">
        <v>243</v>
      </c>
    </row>
    <row r="123">
      <c r="A123" s="4" t="s">
        <v>244</v>
      </c>
      <c r="B123" s="4" t="s">
        <v>245</v>
      </c>
    </row>
    <row r="124">
      <c r="A124" s="4" t="s">
        <v>246</v>
      </c>
      <c r="B124" s="4" t="s">
        <v>247</v>
      </c>
    </row>
    <row r="125">
      <c r="A125" s="4" t="s">
        <v>248</v>
      </c>
      <c r="B125" s="4" t="s">
        <v>249</v>
      </c>
    </row>
    <row r="126">
      <c r="A126" s="4" t="s">
        <v>250</v>
      </c>
      <c r="B126" s="4" t="s">
        <v>251</v>
      </c>
    </row>
    <row r="127">
      <c r="A127" s="4" t="s">
        <v>252</v>
      </c>
      <c r="B127" s="4" t="s">
        <v>253</v>
      </c>
    </row>
    <row r="128">
      <c r="A128" s="4" t="s">
        <v>254</v>
      </c>
      <c r="B128" s="4" t="s">
        <v>255</v>
      </c>
    </row>
    <row r="129">
      <c r="A129" s="4" t="s">
        <v>256</v>
      </c>
      <c r="B129" s="4" t="s">
        <v>257</v>
      </c>
    </row>
    <row r="130">
      <c r="A130" s="4" t="s">
        <v>258</v>
      </c>
      <c r="B130" s="4" t="s">
        <v>259</v>
      </c>
    </row>
    <row r="131">
      <c r="A131" s="4" t="s">
        <v>260</v>
      </c>
      <c r="B131" s="4" t="s">
        <v>261</v>
      </c>
    </row>
    <row r="132">
      <c r="A132" s="4" t="s">
        <v>262</v>
      </c>
      <c r="B132" s="4" t="s">
        <v>263</v>
      </c>
    </row>
    <row r="133">
      <c r="A133" s="4" t="s">
        <v>264</v>
      </c>
      <c r="B133" s="4" t="s">
        <v>265</v>
      </c>
    </row>
    <row r="134">
      <c r="A134" s="4" t="s">
        <v>266</v>
      </c>
      <c r="B134" s="4" t="s">
        <v>267</v>
      </c>
    </row>
    <row r="135">
      <c r="A135" s="4" t="s">
        <v>268</v>
      </c>
      <c r="B135" s="4" t="s">
        <v>269</v>
      </c>
    </row>
    <row r="136">
      <c r="A136" s="4" t="s">
        <v>270</v>
      </c>
      <c r="B136" s="4" t="s">
        <v>271</v>
      </c>
    </row>
    <row r="137">
      <c r="A137" s="4" t="s">
        <v>272</v>
      </c>
      <c r="B137" s="4" t="s">
        <v>273</v>
      </c>
    </row>
    <row r="138">
      <c r="A138" s="4" t="s">
        <v>274</v>
      </c>
      <c r="B138" s="4" t="s">
        <v>275</v>
      </c>
    </row>
    <row r="139">
      <c r="A139" s="4" t="s">
        <v>276</v>
      </c>
      <c r="B139" s="4" t="s">
        <v>277</v>
      </c>
    </row>
    <row r="140">
      <c r="A140" s="4" t="s">
        <v>278</v>
      </c>
      <c r="B140" s="4" t="s">
        <v>279</v>
      </c>
    </row>
    <row r="141">
      <c r="A141" s="4" t="s">
        <v>280</v>
      </c>
      <c r="B141" s="4" t="s">
        <v>281</v>
      </c>
    </row>
    <row r="142">
      <c r="A142" s="4" t="s">
        <v>282</v>
      </c>
      <c r="B142" s="4" t="s">
        <v>283</v>
      </c>
    </row>
    <row r="143">
      <c r="A143" s="4" t="s">
        <v>284</v>
      </c>
      <c r="B143" s="4" t="s">
        <v>285</v>
      </c>
    </row>
    <row r="144">
      <c r="A144" s="4" t="s">
        <v>286</v>
      </c>
      <c r="B144" s="4" t="s">
        <v>287</v>
      </c>
    </row>
    <row r="145">
      <c r="A145" s="4" t="s">
        <v>288</v>
      </c>
      <c r="B145" s="4" t="s">
        <v>289</v>
      </c>
    </row>
    <row r="146">
      <c r="A146" s="4" t="s">
        <v>290</v>
      </c>
      <c r="B146" s="4" t="s">
        <v>291</v>
      </c>
    </row>
    <row r="147">
      <c r="A147" s="4" t="s">
        <v>292</v>
      </c>
      <c r="B147" s="4" t="s">
        <v>293</v>
      </c>
    </row>
    <row r="148">
      <c r="A148" s="4" t="s">
        <v>294</v>
      </c>
      <c r="B148" s="4" t="s">
        <v>295</v>
      </c>
    </row>
    <row r="149">
      <c r="A149" s="4" t="s">
        <v>296</v>
      </c>
      <c r="B149" s="4" t="s">
        <v>297</v>
      </c>
    </row>
    <row r="150">
      <c r="A150" s="4" t="s">
        <v>298</v>
      </c>
      <c r="B150" s="4" t="s">
        <v>299</v>
      </c>
    </row>
    <row r="151">
      <c r="A151" s="4" t="s">
        <v>300</v>
      </c>
      <c r="B151" s="4" t="s">
        <v>301</v>
      </c>
    </row>
    <row r="152">
      <c r="A152" s="4" t="s">
        <v>302</v>
      </c>
      <c r="B152" s="4" t="s">
        <v>303</v>
      </c>
    </row>
    <row r="153">
      <c r="A153" s="4" t="s">
        <v>304</v>
      </c>
      <c r="B153" s="4" t="s">
        <v>305</v>
      </c>
    </row>
    <row r="154">
      <c r="A154" s="4" t="s">
        <v>306</v>
      </c>
      <c r="B154" s="4" t="s">
        <v>307</v>
      </c>
    </row>
    <row r="155">
      <c r="A155" s="4" t="s">
        <v>308</v>
      </c>
      <c r="B155" s="4" t="s">
        <v>309</v>
      </c>
    </row>
    <row r="156">
      <c r="A156" s="4" t="s">
        <v>310</v>
      </c>
      <c r="B156" s="4" t="s">
        <v>311</v>
      </c>
    </row>
    <row r="157">
      <c r="A157" s="4" t="s">
        <v>312</v>
      </c>
      <c r="B157" s="4" t="s">
        <v>313</v>
      </c>
    </row>
    <row r="158">
      <c r="A158" s="4" t="s">
        <v>314</v>
      </c>
      <c r="B158" s="4" t="s">
        <v>315</v>
      </c>
    </row>
    <row r="159">
      <c r="A159" s="4" t="s">
        <v>316</v>
      </c>
      <c r="B159" s="4" t="s">
        <v>317</v>
      </c>
    </row>
    <row r="160">
      <c r="A160" s="4" t="s">
        <v>318</v>
      </c>
      <c r="B160" s="4" t="s">
        <v>319</v>
      </c>
    </row>
    <row r="161">
      <c r="A161" s="4" t="s">
        <v>320</v>
      </c>
      <c r="B161" s="4" t="s">
        <v>321</v>
      </c>
    </row>
    <row r="162">
      <c r="A162" s="4" t="s">
        <v>322</v>
      </c>
      <c r="B162" s="4" t="s">
        <v>323</v>
      </c>
    </row>
    <row r="163">
      <c r="A163" s="4" t="s">
        <v>324</v>
      </c>
      <c r="B163" s="4" t="s">
        <v>325</v>
      </c>
    </row>
    <row r="164">
      <c r="A164" s="4" t="s">
        <v>326</v>
      </c>
      <c r="B164" s="4" t="s">
        <v>327</v>
      </c>
    </row>
    <row r="165">
      <c r="A165" s="4" t="s">
        <v>328</v>
      </c>
      <c r="B165" s="4" t="s">
        <v>329</v>
      </c>
    </row>
    <row r="166">
      <c r="A166" s="4" t="s">
        <v>330</v>
      </c>
      <c r="B166" s="4" t="s">
        <v>331</v>
      </c>
    </row>
    <row r="167">
      <c r="A167" s="4" t="s">
        <v>332</v>
      </c>
      <c r="B167" s="4" t="s">
        <v>333</v>
      </c>
    </row>
    <row r="168">
      <c r="A168" s="4" t="s">
        <v>334</v>
      </c>
      <c r="B168" s="4" t="s">
        <v>335</v>
      </c>
    </row>
    <row r="169">
      <c r="A169" s="4" t="s">
        <v>336</v>
      </c>
      <c r="B169" s="4" t="s">
        <v>337</v>
      </c>
    </row>
    <row r="170">
      <c r="A170" s="4" t="s">
        <v>338</v>
      </c>
      <c r="B170" s="4" t="s">
        <v>339</v>
      </c>
    </row>
    <row r="171">
      <c r="A171" s="4" t="s">
        <v>340</v>
      </c>
      <c r="B171" s="4" t="s">
        <v>341</v>
      </c>
    </row>
    <row r="172">
      <c r="A172" s="4" t="s">
        <v>342</v>
      </c>
      <c r="B172" s="4" t="s">
        <v>343</v>
      </c>
    </row>
    <row r="173">
      <c r="A173" s="4" t="s">
        <v>344</v>
      </c>
      <c r="B173" s="4" t="s">
        <v>345</v>
      </c>
    </row>
    <row r="174">
      <c r="A174" s="4" t="s">
        <v>346</v>
      </c>
      <c r="B174" s="4" t="s">
        <v>347</v>
      </c>
    </row>
    <row r="175">
      <c r="A175" s="4" t="s">
        <v>348</v>
      </c>
      <c r="B175" s="4" t="s">
        <v>349</v>
      </c>
    </row>
    <row r="176">
      <c r="A176" s="4" t="s">
        <v>350</v>
      </c>
      <c r="B176" s="4" t="s">
        <v>351</v>
      </c>
    </row>
    <row r="177">
      <c r="A177" s="4" t="s">
        <v>352</v>
      </c>
      <c r="B177" s="4" t="s">
        <v>353</v>
      </c>
    </row>
    <row r="178">
      <c r="A178" s="4" t="s">
        <v>354</v>
      </c>
      <c r="B178" s="4" t="s">
        <v>355</v>
      </c>
    </row>
    <row r="179">
      <c r="A179" s="4" t="s">
        <v>356</v>
      </c>
      <c r="B179" s="4" t="s">
        <v>357</v>
      </c>
    </row>
    <row r="180">
      <c r="A180" s="4" t="s">
        <v>358</v>
      </c>
      <c r="B180" s="4" t="s">
        <v>359</v>
      </c>
    </row>
    <row r="181">
      <c r="A181" s="4" t="s">
        <v>360</v>
      </c>
      <c r="B181" s="4" t="s">
        <v>361</v>
      </c>
    </row>
    <row r="182">
      <c r="A182" s="4" t="s">
        <v>362</v>
      </c>
      <c r="B182" s="4" t="s">
        <v>363</v>
      </c>
    </row>
    <row r="183">
      <c r="A183" s="4" t="s">
        <v>364</v>
      </c>
      <c r="B183" s="4" t="s">
        <v>365</v>
      </c>
    </row>
    <row r="184">
      <c r="A184" s="4" t="s">
        <v>366</v>
      </c>
      <c r="B184" s="4" t="s">
        <v>367</v>
      </c>
    </row>
    <row r="185">
      <c r="A185" s="4" t="s">
        <v>368</v>
      </c>
      <c r="B185" s="4" t="s">
        <v>369</v>
      </c>
    </row>
    <row r="186">
      <c r="A186" s="4" t="s">
        <v>370</v>
      </c>
      <c r="B186" s="4" t="s">
        <v>371</v>
      </c>
    </row>
    <row r="187">
      <c r="A187" s="4" t="s">
        <v>372</v>
      </c>
      <c r="B187" s="4" t="s">
        <v>373</v>
      </c>
    </row>
    <row r="188">
      <c r="A188" s="4" t="s">
        <v>374</v>
      </c>
      <c r="B188" s="4" t="s">
        <v>375</v>
      </c>
    </row>
    <row r="189">
      <c r="A189" s="4" t="s">
        <v>376</v>
      </c>
      <c r="B189" s="4" t="s">
        <v>377</v>
      </c>
    </row>
    <row r="190">
      <c r="A190" s="4" t="s">
        <v>378</v>
      </c>
      <c r="B190" s="4" t="s">
        <v>379</v>
      </c>
    </row>
    <row r="191">
      <c r="A191" s="4" t="s">
        <v>380</v>
      </c>
      <c r="B191" s="4" t="s">
        <v>381</v>
      </c>
    </row>
    <row r="192">
      <c r="A192" s="4" t="s">
        <v>382</v>
      </c>
      <c r="B192" s="4" t="s">
        <v>383</v>
      </c>
    </row>
    <row r="193">
      <c r="A193" s="4" t="s">
        <v>384</v>
      </c>
      <c r="B193" s="4" t="s">
        <v>385</v>
      </c>
    </row>
    <row r="194">
      <c r="A194" s="4" t="s">
        <v>386</v>
      </c>
      <c r="B194" s="4" t="s">
        <v>387</v>
      </c>
    </row>
    <row r="195">
      <c r="A195" s="4" t="s">
        <v>388</v>
      </c>
      <c r="B195" s="4" t="s">
        <v>389</v>
      </c>
    </row>
    <row r="196">
      <c r="A196" s="4" t="s">
        <v>390</v>
      </c>
      <c r="B196" s="4" t="s">
        <v>391</v>
      </c>
    </row>
    <row r="197">
      <c r="A197" s="4" t="s">
        <v>392</v>
      </c>
      <c r="B197" s="4" t="s">
        <v>393</v>
      </c>
    </row>
    <row r="198">
      <c r="A198" s="4" t="s">
        <v>394</v>
      </c>
      <c r="B198" s="4" t="s">
        <v>395</v>
      </c>
    </row>
    <row r="199">
      <c r="A199" s="4" t="s">
        <v>396</v>
      </c>
      <c r="B199" s="4" t="s">
        <v>397</v>
      </c>
    </row>
    <row r="200">
      <c r="A200" s="4" t="s">
        <v>398</v>
      </c>
      <c r="B200" s="4" t="s">
        <v>399</v>
      </c>
    </row>
    <row r="201">
      <c r="A201" s="4" t="s">
        <v>400</v>
      </c>
      <c r="B201" s="4" t="s">
        <v>401</v>
      </c>
    </row>
    <row r="202">
      <c r="A202" s="4" t="s">
        <v>402</v>
      </c>
      <c r="B202" s="4" t="s">
        <v>403</v>
      </c>
    </row>
    <row r="203">
      <c r="A203" s="4" t="s">
        <v>404</v>
      </c>
      <c r="B203" s="4" t="s">
        <v>405</v>
      </c>
    </row>
    <row r="204">
      <c r="A204" s="4" t="s">
        <v>406</v>
      </c>
      <c r="B204" s="4" t="s">
        <v>407</v>
      </c>
    </row>
    <row r="205">
      <c r="A205" s="4" t="s">
        <v>408</v>
      </c>
      <c r="B205" s="4" t="s">
        <v>409</v>
      </c>
    </row>
    <row r="206">
      <c r="A206" s="4" t="s">
        <v>410</v>
      </c>
      <c r="B206" s="4" t="s">
        <v>411</v>
      </c>
    </row>
    <row r="207">
      <c r="A207" s="4" t="s">
        <v>412</v>
      </c>
      <c r="B207" s="4" t="s">
        <v>413</v>
      </c>
    </row>
    <row r="208">
      <c r="A208" s="4" t="s">
        <v>414</v>
      </c>
      <c r="B208" s="4" t="s">
        <v>415</v>
      </c>
    </row>
    <row r="209">
      <c r="A209" s="4" t="s">
        <v>416</v>
      </c>
      <c r="B209" s="4" t="s">
        <v>417</v>
      </c>
    </row>
    <row r="210">
      <c r="A210" s="4" t="s">
        <v>418</v>
      </c>
      <c r="B210" s="4" t="s">
        <v>419</v>
      </c>
    </row>
    <row r="211">
      <c r="A211" s="4" t="s">
        <v>420</v>
      </c>
      <c r="B211" s="4" t="s">
        <v>421</v>
      </c>
    </row>
    <row r="212">
      <c r="A212" s="4" t="s">
        <v>422</v>
      </c>
      <c r="B212" s="4" t="s">
        <v>423</v>
      </c>
    </row>
    <row r="213">
      <c r="A213" s="4" t="s">
        <v>424</v>
      </c>
      <c r="B213" s="4" t="s">
        <v>425</v>
      </c>
    </row>
    <row r="214">
      <c r="A214" s="4" t="s">
        <v>426</v>
      </c>
      <c r="B214" s="4" t="s">
        <v>427</v>
      </c>
    </row>
    <row r="215">
      <c r="A215" s="4" t="s">
        <v>428</v>
      </c>
      <c r="B215" s="4" t="s">
        <v>429</v>
      </c>
    </row>
    <row r="216">
      <c r="A216" s="4" t="s">
        <v>430</v>
      </c>
      <c r="B216" s="4" t="s">
        <v>431</v>
      </c>
    </row>
    <row r="217">
      <c r="A217" s="4" t="s">
        <v>432</v>
      </c>
      <c r="B217" s="4" t="s">
        <v>433</v>
      </c>
    </row>
    <row r="218">
      <c r="A218" s="4" t="s">
        <v>434</v>
      </c>
      <c r="B218" s="4" t="s">
        <v>435</v>
      </c>
    </row>
    <row r="219">
      <c r="A219" s="4" t="s">
        <v>436</v>
      </c>
      <c r="B219" s="4" t="s">
        <v>437</v>
      </c>
    </row>
    <row r="220">
      <c r="A220" s="4" t="s">
        <v>438</v>
      </c>
      <c r="B220" s="4" t="s">
        <v>439</v>
      </c>
    </row>
    <row r="221">
      <c r="A221" s="4" t="s">
        <v>440</v>
      </c>
      <c r="B221" s="4" t="s">
        <v>441</v>
      </c>
    </row>
    <row r="222">
      <c r="A222" s="4" t="s">
        <v>442</v>
      </c>
      <c r="B222" s="4" t="s">
        <v>443</v>
      </c>
    </row>
    <row r="223">
      <c r="A223" s="4" t="s">
        <v>444</v>
      </c>
      <c r="B223" s="4" t="s">
        <v>445</v>
      </c>
    </row>
    <row r="224">
      <c r="A224" s="4" t="s">
        <v>446</v>
      </c>
      <c r="B224" s="4" t="s">
        <v>447</v>
      </c>
    </row>
    <row r="225">
      <c r="A225" s="4" t="s">
        <v>448</v>
      </c>
      <c r="B225" s="4" t="s">
        <v>449</v>
      </c>
    </row>
    <row r="226">
      <c r="A226" s="4" t="s">
        <v>450</v>
      </c>
      <c r="B226" s="4" t="s">
        <v>451</v>
      </c>
    </row>
    <row r="227">
      <c r="A227" s="4" t="s">
        <v>452</v>
      </c>
      <c r="B227" s="4" t="s">
        <v>453</v>
      </c>
    </row>
    <row r="228">
      <c r="A228" s="4" t="s">
        <v>454</v>
      </c>
      <c r="B228" s="4" t="s">
        <v>455</v>
      </c>
    </row>
    <row r="229">
      <c r="A229" s="4" t="s">
        <v>456</v>
      </c>
      <c r="B229" s="4" t="s">
        <v>457</v>
      </c>
    </row>
    <row r="230">
      <c r="A230" s="4" t="s">
        <v>458</v>
      </c>
      <c r="B230" s="4" t="s">
        <v>459</v>
      </c>
    </row>
    <row r="231">
      <c r="A231" s="4" t="s">
        <v>460</v>
      </c>
      <c r="B231" s="4" t="s">
        <v>461</v>
      </c>
    </row>
    <row r="232">
      <c r="A232" s="4" t="s">
        <v>462</v>
      </c>
      <c r="B232" s="4" t="s">
        <v>463</v>
      </c>
    </row>
    <row r="233">
      <c r="A233" s="4" t="s">
        <v>464</v>
      </c>
      <c r="B233" s="4" t="s">
        <v>465</v>
      </c>
    </row>
    <row r="234">
      <c r="A234" s="4" t="s">
        <v>466</v>
      </c>
      <c r="B234" s="4" t="s">
        <v>467</v>
      </c>
    </row>
    <row r="235">
      <c r="A235" s="4" t="s">
        <v>468</v>
      </c>
      <c r="B235" s="4" t="s">
        <v>469</v>
      </c>
    </row>
    <row r="236">
      <c r="A236" s="4" t="s">
        <v>470</v>
      </c>
      <c r="B236" s="4" t="s">
        <v>471</v>
      </c>
    </row>
    <row r="237">
      <c r="A237" s="4" t="s">
        <v>472</v>
      </c>
      <c r="B237" s="4" t="s">
        <v>473</v>
      </c>
    </row>
    <row r="238">
      <c r="A238" s="4" t="s">
        <v>474</v>
      </c>
      <c r="B238" s="4" t="s">
        <v>475</v>
      </c>
    </row>
    <row r="239">
      <c r="A239" s="4" t="s">
        <v>476</v>
      </c>
      <c r="B239" s="4" t="s">
        <v>477</v>
      </c>
    </row>
    <row r="240">
      <c r="A240" s="4" t="s">
        <v>478</v>
      </c>
      <c r="B240" s="4" t="s">
        <v>479</v>
      </c>
    </row>
    <row r="241">
      <c r="A241" s="4" t="s">
        <v>480</v>
      </c>
      <c r="B241" s="4" t="s">
        <v>481</v>
      </c>
    </row>
    <row r="242">
      <c r="A242" s="4" t="s">
        <v>482</v>
      </c>
      <c r="B242" s="4" t="s">
        <v>483</v>
      </c>
    </row>
    <row r="243">
      <c r="A243" s="4" t="s">
        <v>484</v>
      </c>
      <c r="B243" s="4" t="s">
        <v>485</v>
      </c>
    </row>
    <row r="244">
      <c r="A244" s="4" t="s">
        <v>486</v>
      </c>
      <c r="B244" s="4" t="s">
        <v>487</v>
      </c>
    </row>
    <row r="245">
      <c r="A245" s="4" t="s">
        <v>488</v>
      </c>
      <c r="B245" s="4" t="s">
        <v>489</v>
      </c>
    </row>
    <row r="246">
      <c r="A246" s="4" t="s">
        <v>490</v>
      </c>
      <c r="B246" s="4" t="s">
        <v>491</v>
      </c>
    </row>
    <row r="247">
      <c r="A247" s="4" t="s">
        <v>492</v>
      </c>
      <c r="B247" s="4" t="s">
        <v>493</v>
      </c>
    </row>
    <row r="248">
      <c r="A248" s="4" t="s">
        <v>494</v>
      </c>
      <c r="B248" s="4" t="s">
        <v>495</v>
      </c>
    </row>
    <row r="249">
      <c r="A249" s="4" t="s">
        <v>496</v>
      </c>
      <c r="B249" s="4" t="s">
        <v>497</v>
      </c>
    </row>
    <row r="250">
      <c r="A250" s="4" t="s">
        <v>498</v>
      </c>
      <c r="B250" s="4" t="s">
        <v>499</v>
      </c>
    </row>
    <row r="251">
      <c r="A251" s="4" t="s">
        <v>500</v>
      </c>
      <c r="B251" s="4" t="s">
        <v>501</v>
      </c>
    </row>
    <row r="252">
      <c r="A252" s="4" t="s">
        <v>502</v>
      </c>
      <c r="B252" s="4" t="s">
        <v>503</v>
      </c>
    </row>
    <row r="253">
      <c r="A253" s="4" t="s">
        <v>504</v>
      </c>
      <c r="B253" s="4" t="s">
        <v>505</v>
      </c>
    </row>
    <row r="254">
      <c r="A254" s="4" t="s">
        <v>506</v>
      </c>
      <c r="B254" s="4" t="s">
        <v>507</v>
      </c>
    </row>
    <row r="255">
      <c r="A255" s="4" t="s">
        <v>508</v>
      </c>
      <c r="B255" s="4" t="s">
        <v>509</v>
      </c>
    </row>
    <row r="256">
      <c r="A256" s="4" t="s">
        <v>510</v>
      </c>
      <c r="B256" s="4" t="s">
        <v>511</v>
      </c>
    </row>
    <row r="257">
      <c r="A257" s="4" t="s">
        <v>512</v>
      </c>
      <c r="B257" s="4" t="s">
        <v>513</v>
      </c>
    </row>
    <row r="258">
      <c r="A258" s="4" t="s">
        <v>514</v>
      </c>
      <c r="B258" s="4" t="s">
        <v>515</v>
      </c>
    </row>
    <row r="259">
      <c r="A259" s="4" t="s">
        <v>516</v>
      </c>
      <c r="B259" s="4" t="s">
        <v>517</v>
      </c>
    </row>
    <row r="260">
      <c r="A260" s="4" t="s">
        <v>518</v>
      </c>
      <c r="B260" s="4" t="s">
        <v>519</v>
      </c>
    </row>
    <row r="261">
      <c r="A261" s="4" t="s">
        <v>520</v>
      </c>
      <c r="B261" s="4" t="s">
        <v>521</v>
      </c>
    </row>
    <row r="262">
      <c r="A262" s="4" t="s">
        <v>522</v>
      </c>
      <c r="B262" s="4" t="s">
        <v>523</v>
      </c>
    </row>
    <row r="263">
      <c r="A263" s="4" t="s">
        <v>524</v>
      </c>
      <c r="B263" s="4" t="s">
        <v>525</v>
      </c>
    </row>
    <row r="264">
      <c r="A264" s="4" t="s">
        <v>526</v>
      </c>
      <c r="B264" s="4" t="s">
        <v>527</v>
      </c>
    </row>
    <row r="265">
      <c r="A265" s="4" t="s">
        <v>528</v>
      </c>
      <c r="B265" s="4" t="s">
        <v>529</v>
      </c>
    </row>
    <row r="266">
      <c r="A266" s="4" t="s">
        <v>530</v>
      </c>
      <c r="B266" s="4" t="s">
        <v>531</v>
      </c>
    </row>
    <row r="267">
      <c r="A267" s="4" t="s">
        <v>532</v>
      </c>
      <c r="B267" s="4" t="s">
        <v>533</v>
      </c>
    </row>
    <row r="268">
      <c r="A268" s="4" t="s">
        <v>534</v>
      </c>
      <c r="B268" s="4" t="s">
        <v>535</v>
      </c>
    </row>
    <row r="269">
      <c r="A269" s="4" t="s">
        <v>536</v>
      </c>
      <c r="B269" s="4" t="s">
        <v>537</v>
      </c>
    </row>
    <row r="270">
      <c r="A270" s="4" t="s">
        <v>538</v>
      </c>
      <c r="B270" s="4" t="s">
        <v>539</v>
      </c>
    </row>
    <row r="271">
      <c r="A271" s="4" t="s">
        <v>540</v>
      </c>
      <c r="B271" s="4" t="s">
        <v>541</v>
      </c>
    </row>
    <row r="272">
      <c r="A272" s="4" t="s">
        <v>542</v>
      </c>
      <c r="B272" s="4" t="s">
        <v>543</v>
      </c>
    </row>
    <row r="273">
      <c r="A273" s="4" t="s">
        <v>544</v>
      </c>
      <c r="B273" s="4" t="s">
        <v>545</v>
      </c>
    </row>
    <row r="274">
      <c r="A274" s="4" t="s">
        <v>546</v>
      </c>
      <c r="B274" s="4" t="s">
        <v>547</v>
      </c>
    </row>
    <row r="275">
      <c r="A275" s="4" t="s">
        <v>548</v>
      </c>
      <c r="B275" s="4" t="s">
        <v>549</v>
      </c>
    </row>
    <row r="276">
      <c r="A276" s="4" t="s">
        <v>550</v>
      </c>
      <c r="B276" s="4" t="s">
        <v>551</v>
      </c>
    </row>
    <row r="277">
      <c r="A277" s="4" t="s">
        <v>552</v>
      </c>
      <c r="B277" s="4" t="s">
        <v>553</v>
      </c>
    </row>
    <row r="278">
      <c r="A278" s="4" t="s">
        <v>554</v>
      </c>
      <c r="B278" s="4" t="s">
        <v>555</v>
      </c>
    </row>
    <row r="279">
      <c r="A279" s="4" t="s">
        <v>556</v>
      </c>
      <c r="B279" s="4" t="s">
        <v>557</v>
      </c>
    </row>
    <row r="280">
      <c r="A280" s="4" t="s">
        <v>558</v>
      </c>
      <c r="B280" s="4" t="s">
        <v>559</v>
      </c>
    </row>
    <row r="281">
      <c r="A281" s="4" t="s">
        <v>560</v>
      </c>
      <c r="B281" s="4" t="s">
        <v>561</v>
      </c>
    </row>
    <row r="282">
      <c r="A282" s="4" t="s">
        <v>562</v>
      </c>
      <c r="B282" s="4" t="s">
        <v>563</v>
      </c>
    </row>
    <row r="283">
      <c r="A283" s="4" t="s">
        <v>564</v>
      </c>
      <c r="B283" s="4" t="s">
        <v>565</v>
      </c>
    </row>
    <row r="284">
      <c r="A284" s="4" t="s">
        <v>566</v>
      </c>
      <c r="B284" s="4" t="s">
        <v>567</v>
      </c>
    </row>
    <row r="285">
      <c r="A285" s="4" t="s">
        <v>568</v>
      </c>
      <c r="B285" s="4" t="s">
        <v>569</v>
      </c>
    </row>
    <row r="286">
      <c r="A286" s="4" t="s">
        <v>570</v>
      </c>
      <c r="B286" s="4" t="s">
        <v>571</v>
      </c>
    </row>
    <row r="287">
      <c r="A287" s="4" t="s">
        <v>572</v>
      </c>
      <c r="B287" s="4" t="s">
        <v>573</v>
      </c>
    </row>
    <row r="288">
      <c r="A288" s="4" t="s">
        <v>574</v>
      </c>
      <c r="B288" s="4" t="s">
        <v>575</v>
      </c>
    </row>
    <row r="289">
      <c r="A289" s="4" t="s">
        <v>576</v>
      </c>
      <c r="B289" s="4" t="s">
        <v>577</v>
      </c>
    </row>
    <row r="290">
      <c r="A290" s="4" t="s">
        <v>578</v>
      </c>
      <c r="B290" s="4" t="s">
        <v>579</v>
      </c>
    </row>
    <row r="291">
      <c r="A291" s="4" t="s">
        <v>580</v>
      </c>
      <c r="B291" s="4" t="s">
        <v>581</v>
      </c>
    </row>
    <row r="292">
      <c r="A292" s="4" t="s">
        <v>582</v>
      </c>
      <c r="B292" s="4" t="s">
        <v>583</v>
      </c>
    </row>
    <row r="293">
      <c r="A293" s="4" t="s">
        <v>584</v>
      </c>
      <c r="B293" s="4" t="s">
        <v>585</v>
      </c>
    </row>
    <row r="294">
      <c r="A294" s="4" t="s">
        <v>586</v>
      </c>
      <c r="B294" s="4" t="s">
        <v>587</v>
      </c>
    </row>
    <row r="295">
      <c r="A295" s="4" t="s">
        <v>588</v>
      </c>
      <c r="B295" s="4" t="s">
        <v>589</v>
      </c>
    </row>
    <row r="296">
      <c r="A296" s="4" t="s">
        <v>590</v>
      </c>
      <c r="B296" s="4" t="s">
        <v>591</v>
      </c>
    </row>
    <row r="297">
      <c r="A297" s="4" t="s">
        <v>592</v>
      </c>
      <c r="B297" s="4" t="s">
        <v>593</v>
      </c>
    </row>
    <row r="298">
      <c r="A298" s="4" t="s">
        <v>594</v>
      </c>
      <c r="B298" s="4" t="s">
        <v>595</v>
      </c>
    </row>
    <row r="299">
      <c r="A299" s="4" t="s">
        <v>596</v>
      </c>
      <c r="B299" s="4" t="s">
        <v>597</v>
      </c>
    </row>
    <row r="300">
      <c r="A300" s="4" t="s">
        <v>598</v>
      </c>
      <c r="B300" s="4" t="s">
        <v>599</v>
      </c>
    </row>
    <row r="301">
      <c r="A301" s="4" t="s">
        <v>600</v>
      </c>
      <c r="B301" s="4" t="s">
        <v>601</v>
      </c>
    </row>
    <row r="302">
      <c r="A302" s="4" t="s">
        <v>602</v>
      </c>
      <c r="B302" s="4" t="s">
        <v>603</v>
      </c>
    </row>
    <row r="303">
      <c r="A303" s="4" t="s">
        <v>604</v>
      </c>
      <c r="B303" s="4" t="s">
        <v>605</v>
      </c>
    </row>
    <row r="304">
      <c r="A304" s="4" t="s">
        <v>606</v>
      </c>
      <c r="B304" s="4" t="s">
        <v>607</v>
      </c>
    </row>
    <row r="305">
      <c r="A305" s="4" t="s">
        <v>608</v>
      </c>
      <c r="B305" s="4" t="s">
        <v>609</v>
      </c>
    </row>
    <row r="306">
      <c r="A306" s="4" t="s">
        <v>610</v>
      </c>
      <c r="B306" s="4" t="s">
        <v>611</v>
      </c>
    </row>
    <row r="307">
      <c r="A307" s="4" t="s">
        <v>612</v>
      </c>
      <c r="B307" s="4" t="s">
        <v>613</v>
      </c>
    </row>
    <row r="308">
      <c r="A308" s="4" t="s">
        <v>614</v>
      </c>
      <c r="B308" s="4" t="s">
        <v>615</v>
      </c>
    </row>
    <row r="309">
      <c r="A309" s="4" t="s">
        <v>616</v>
      </c>
      <c r="B309" s="4" t="s">
        <v>617</v>
      </c>
    </row>
    <row r="310">
      <c r="A310" s="4" t="s">
        <v>618</v>
      </c>
      <c r="B310" s="4" t="s">
        <v>619</v>
      </c>
    </row>
    <row r="311">
      <c r="A311" s="4" t="s">
        <v>620</v>
      </c>
      <c r="B311" s="4" t="s">
        <v>621</v>
      </c>
    </row>
    <row r="312">
      <c r="A312" s="4" t="s">
        <v>622</v>
      </c>
      <c r="B312" s="4" t="s">
        <v>623</v>
      </c>
    </row>
    <row r="313">
      <c r="A313" s="4" t="s">
        <v>624</v>
      </c>
      <c r="B313" s="4" t="s">
        <v>625</v>
      </c>
    </row>
    <row r="314">
      <c r="A314" s="4" t="s">
        <v>626</v>
      </c>
      <c r="B314" s="4" t="s">
        <v>627</v>
      </c>
    </row>
    <row r="315">
      <c r="A315" s="4" t="s">
        <v>628</v>
      </c>
      <c r="B315" s="4" t="s">
        <v>629</v>
      </c>
    </row>
    <row r="316">
      <c r="A316" s="4" t="s">
        <v>630</v>
      </c>
      <c r="B316" s="4" t="s">
        <v>631</v>
      </c>
    </row>
    <row r="317">
      <c r="A317" s="4" t="s">
        <v>632</v>
      </c>
      <c r="B317" s="4" t="s">
        <v>633</v>
      </c>
    </row>
    <row r="318">
      <c r="A318" s="4" t="s">
        <v>634</v>
      </c>
      <c r="B318" s="4" t="s">
        <v>635</v>
      </c>
    </row>
    <row r="319">
      <c r="A319" s="4" t="s">
        <v>636</v>
      </c>
      <c r="B319" s="4" t="s">
        <v>637</v>
      </c>
    </row>
    <row r="320">
      <c r="A320" s="4" t="s">
        <v>638</v>
      </c>
      <c r="B320" s="4" t="s">
        <v>639</v>
      </c>
    </row>
    <row r="321">
      <c r="A321" s="4" t="s">
        <v>640</v>
      </c>
      <c r="B321" s="4" t="s">
        <v>641</v>
      </c>
    </row>
    <row r="322">
      <c r="A322" s="4" t="s">
        <v>642</v>
      </c>
      <c r="B322" s="4" t="s">
        <v>643</v>
      </c>
    </row>
    <row r="323">
      <c r="A323" s="4" t="s">
        <v>644</v>
      </c>
      <c r="B323" s="4" t="s">
        <v>645</v>
      </c>
    </row>
    <row r="324">
      <c r="A324" s="4" t="s">
        <v>646</v>
      </c>
      <c r="B324" s="4" t="s">
        <v>647</v>
      </c>
    </row>
    <row r="325">
      <c r="A325" s="4" t="s">
        <v>648</v>
      </c>
      <c r="B325" s="4" t="s">
        <v>649</v>
      </c>
    </row>
    <row r="326">
      <c r="A326" s="4" t="s">
        <v>650</v>
      </c>
      <c r="B326" s="4" t="s">
        <v>651</v>
      </c>
    </row>
    <row r="327">
      <c r="A327" s="4" t="s">
        <v>652</v>
      </c>
      <c r="B327" s="4" t="s">
        <v>653</v>
      </c>
    </row>
    <row r="328">
      <c r="A328" s="4" t="s">
        <v>654</v>
      </c>
      <c r="B328" s="4" t="s">
        <v>655</v>
      </c>
    </row>
    <row r="329">
      <c r="A329" s="4" t="s">
        <v>656</v>
      </c>
      <c r="B329" s="4" t="s">
        <v>657</v>
      </c>
    </row>
    <row r="330">
      <c r="A330" s="4" t="s">
        <v>658</v>
      </c>
      <c r="B330" s="4" t="s">
        <v>659</v>
      </c>
    </row>
    <row r="331">
      <c r="A331" s="4" t="s">
        <v>660</v>
      </c>
      <c r="B331" s="4" t="s">
        <v>661</v>
      </c>
    </row>
    <row r="332">
      <c r="A332" s="4" t="s">
        <v>662</v>
      </c>
      <c r="B332" s="4" t="s">
        <v>663</v>
      </c>
    </row>
    <row r="333">
      <c r="A333" s="4" t="s">
        <v>664</v>
      </c>
      <c r="B333" s="4" t="s">
        <v>665</v>
      </c>
    </row>
    <row r="334">
      <c r="A334" s="4" t="s">
        <v>666</v>
      </c>
      <c r="B334" s="4" t="s">
        <v>667</v>
      </c>
    </row>
    <row r="335">
      <c r="A335" s="4" t="s">
        <v>668</v>
      </c>
      <c r="B335" s="4" t="s">
        <v>669</v>
      </c>
    </row>
    <row r="336">
      <c r="A336" s="4" t="s">
        <v>670</v>
      </c>
      <c r="B336" s="4" t="s">
        <v>671</v>
      </c>
    </row>
    <row r="337">
      <c r="A337" s="4" t="s">
        <v>672</v>
      </c>
      <c r="B337" s="4" t="s">
        <v>673</v>
      </c>
    </row>
    <row r="338">
      <c r="A338" s="4" t="s">
        <v>674</v>
      </c>
      <c r="B338" s="4" t="s">
        <v>675</v>
      </c>
    </row>
    <row r="339">
      <c r="A339" s="4" t="s">
        <v>676</v>
      </c>
      <c r="B339" s="4" t="s">
        <v>677</v>
      </c>
    </row>
    <row r="340">
      <c r="A340" s="4" t="s">
        <v>678</v>
      </c>
      <c r="B340" s="4" t="s">
        <v>679</v>
      </c>
    </row>
    <row r="341">
      <c r="A341" s="4" t="s">
        <v>680</v>
      </c>
      <c r="B341" s="4" t="s">
        <v>681</v>
      </c>
    </row>
    <row r="342">
      <c r="A342" s="4" t="s">
        <v>682</v>
      </c>
      <c r="B342" s="4" t="s">
        <v>683</v>
      </c>
    </row>
    <row r="343">
      <c r="A343" s="4" t="s">
        <v>684</v>
      </c>
      <c r="B343" s="4" t="s">
        <v>685</v>
      </c>
    </row>
    <row r="344">
      <c r="A344" s="4" t="s">
        <v>686</v>
      </c>
      <c r="B344" s="4" t="s">
        <v>687</v>
      </c>
    </row>
    <row r="345">
      <c r="A345" s="4" t="s">
        <v>688</v>
      </c>
      <c r="B345" s="4" t="s">
        <v>689</v>
      </c>
    </row>
    <row r="346">
      <c r="A346" s="4" t="s">
        <v>690</v>
      </c>
      <c r="B346" s="4" t="s">
        <v>691</v>
      </c>
    </row>
    <row r="347">
      <c r="A347" s="4" t="s">
        <v>692</v>
      </c>
      <c r="B347" s="4" t="s">
        <v>693</v>
      </c>
    </row>
    <row r="348">
      <c r="A348" s="4" t="s">
        <v>694</v>
      </c>
      <c r="B348" s="4" t="s">
        <v>695</v>
      </c>
    </row>
    <row r="349">
      <c r="A349" s="4" t="s">
        <v>696</v>
      </c>
      <c r="B349" s="4" t="s">
        <v>697</v>
      </c>
    </row>
    <row r="350">
      <c r="A350" s="4" t="s">
        <v>698</v>
      </c>
      <c r="B350" s="4" t="s">
        <v>699</v>
      </c>
    </row>
    <row r="351">
      <c r="A351" s="4" t="s">
        <v>700</v>
      </c>
      <c r="B351" s="4" t="s">
        <v>701</v>
      </c>
    </row>
    <row r="352">
      <c r="A352" s="4" t="s">
        <v>702</v>
      </c>
      <c r="B352" s="4" t="s">
        <v>703</v>
      </c>
    </row>
    <row r="353">
      <c r="A353" s="4" t="s">
        <v>704</v>
      </c>
      <c r="B353" s="4" t="s">
        <v>705</v>
      </c>
    </row>
    <row r="354">
      <c r="A354" s="4" t="s">
        <v>706</v>
      </c>
      <c r="B354" s="4" t="s">
        <v>707</v>
      </c>
    </row>
    <row r="355">
      <c r="A355" s="4" t="s">
        <v>708</v>
      </c>
      <c r="B355" s="4" t="s">
        <v>709</v>
      </c>
    </row>
    <row r="356">
      <c r="A356" s="4" t="s">
        <v>710</v>
      </c>
      <c r="B356" s="4" t="s">
        <v>711</v>
      </c>
    </row>
    <row r="357">
      <c r="A357" s="4" t="s">
        <v>712</v>
      </c>
      <c r="B357" s="4" t="s">
        <v>713</v>
      </c>
    </row>
    <row r="358">
      <c r="A358" s="4" t="s">
        <v>714</v>
      </c>
      <c r="B358" s="4" t="s">
        <v>715</v>
      </c>
    </row>
    <row r="359">
      <c r="A359" s="4" t="s">
        <v>716</v>
      </c>
      <c r="B359" s="4" t="s">
        <v>717</v>
      </c>
    </row>
    <row r="360">
      <c r="A360" s="4" t="s">
        <v>718</v>
      </c>
      <c r="B360" s="4" t="s">
        <v>719</v>
      </c>
    </row>
    <row r="361">
      <c r="A361" s="4" t="s">
        <v>720</v>
      </c>
      <c r="B361" s="4" t="s">
        <v>721</v>
      </c>
    </row>
    <row r="362">
      <c r="A362" s="4" t="s">
        <v>722</v>
      </c>
      <c r="B362" s="4" t="s">
        <v>723</v>
      </c>
    </row>
    <row r="363">
      <c r="A363" s="4" t="s">
        <v>724</v>
      </c>
      <c r="B363" s="4" t="s">
        <v>725</v>
      </c>
    </row>
    <row r="364">
      <c r="A364" s="4" t="s">
        <v>726</v>
      </c>
      <c r="B364" s="4" t="s">
        <v>727</v>
      </c>
    </row>
    <row r="365">
      <c r="A365" s="4" t="s">
        <v>728</v>
      </c>
      <c r="B365" s="4" t="s">
        <v>729</v>
      </c>
    </row>
    <row r="366">
      <c r="A366" s="4" t="s">
        <v>730</v>
      </c>
      <c r="B366" s="4" t="s">
        <v>731</v>
      </c>
    </row>
    <row r="367">
      <c r="A367" s="4" t="s">
        <v>732</v>
      </c>
      <c r="B367" s="4" t="s">
        <v>733</v>
      </c>
    </row>
    <row r="368">
      <c r="A368" s="4" t="s">
        <v>734</v>
      </c>
      <c r="B368" s="4" t="s">
        <v>735</v>
      </c>
    </row>
    <row r="369">
      <c r="A369" s="4" t="s">
        <v>736</v>
      </c>
      <c r="B369" s="4" t="s">
        <v>737</v>
      </c>
    </row>
    <row r="370">
      <c r="A370" s="4" t="s">
        <v>738</v>
      </c>
      <c r="B370" s="4" t="s">
        <v>739</v>
      </c>
    </row>
    <row r="371">
      <c r="A371" s="4" t="s">
        <v>740</v>
      </c>
      <c r="B371" s="4" t="s">
        <v>741</v>
      </c>
    </row>
    <row r="372">
      <c r="A372" s="4" t="s">
        <v>742</v>
      </c>
      <c r="B372" s="4" t="s">
        <v>743</v>
      </c>
    </row>
    <row r="373">
      <c r="A373" s="4" t="s">
        <v>744</v>
      </c>
      <c r="B373" s="4" t="s">
        <v>745</v>
      </c>
    </row>
    <row r="374">
      <c r="A374" s="4" t="s">
        <v>746</v>
      </c>
      <c r="B374" s="4" t="s">
        <v>747</v>
      </c>
    </row>
    <row r="375">
      <c r="A375" s="4" t="s">
        <v>748</v>
      </c>
      <c r="B375" s="4" t="s">
        <v>749</v>
      </c>
    </row>
    <row r="376">
      <c r="A376" s="4" t="s">
        <v>750</v>
      </c>
      <c r="B376" s="4" t="s">
        <v>751</v>
      </c>
    </row>
    <row r="377">
      <c r="A377" s="4" t="s">
        <v>752</v>
      </c>
      <c r="B377" s="4" t="s">
        <v>753</v>
      </c>
    </row>
    <row r="378">
      <c r="A378" s="4" t="s">
        <v>754</v>
      </c>
      <c r="B378" s="4" t="s">
        <v>755</v>
      </c>
    </row>
    <row r="379">
      <c r="A379" s="4" t="s">
        <v>756</v>
      </c>
      <c r="B379" s="4" t="s">
        <v>757</v>
      </c>
    </row>
    <row r="380">
      <c r="A380" s="4" t="s">
        <v>758</v>
      </c>
      <c r="B380" s="4" t="s">
        <v>759</v>
      </c>
    </row>
    <row r="381">
      <c r="A381" s="4" t="s">
        <v>760</v>
      </c>
      <c r="B381" s="4" t="s">
        <v>761</v>
      </c>
    </row>
    <row r="382">
      <c r="A382" s="4" t="s">
        <v>762</v>
      </c>
      <c r="B382" s="4" t="s">
        <v>763</v>
      </c>
    </row>
    <row r="383">
      <c r="A383" s="4" t="s">
        <v>764</v>
      </c>
      <c r="B383" s="4" t="s">
        <v>765</v>
      </c>
    </row>
    <row r="384">
      <c r="A384" s="4" t="s">
        <v>766</v>
      </c>
      <c r="B384" s="4" t="s">
        <v>767</v>
      </c>
    </row>
    <row r="385">
      <c r="A385" s="4" t="s">
        <v>768</v>
      </c>
      <c r="B385" s="4" t="s">
        <v>769</v>
      </c>
    </row>
    <row r="386">
      <c r="A386" s="4" t="s">
        <v>770</v>
      </c>
      <c r="B386" s="4" t="s">
        <v>771</v>
      </c>
    </row>
    <row r="387">
      <c r="A387" s="4" t="s">
        <v>772</v>
      </c>
      <c r="B387" s="4" t="s">
        <v>773</v>
      </c>
    </row>
    <row r="388">
      <c r="A388" s="4" t="s">
        <v>774</v>
      </c>
      <c r="B388" s="4" t="s">
        <v>775</v>
      </c>
    </row>
    <row r="389">
      <c r="A389" s="4" t="s">
        <v>776</v>
      </c>
      <c r="B389" s="4" t="s">
        <v>777</v>
      </c>
    </row>
    <row r="390">
      <c r="A390" s="4" t="s">
        <v>778</v>
      </c>
      <c r="B390" s="4" t="s">
        <v>779</v>
      </c>
    </row>
    <row r="391">
      <c r="A391" s="4" t="s">
        <v>780</v>
      </c>
      <c r="B391" s="4" t="s">
        <v>781</v>
      </c>
    </row>
    <row r="392">
      <c r="A392" s="4" t="s">
        <v>782</v>
      </c>
      <c r="B392" s="4" t="s">
        <v>783</v>
      </c>
    </row>
    <row r="393">
      <c r="A393" s="4" t="s">
        <v>784</v>
      </c>
      <c r="B393" s="4" t="s">
        <v>785</v>
      </c>
    </row>
    <row r="394">
      <c r="A394" s="4" t="s">
        <v>786</v>
      </c>
      <c r="B394" s="4" t="s">
        <v>787</v>
      </c>
    </row>
    <row r="395">
      <c r="A395" s="4" t="s">
        <v>788</v>
      </c>
      <c r="B395" s="4" t="s">
        <v>789</v>
      </c>
    </row>
    <row r="396">
      <c r="A396" s="4" t="s">
        <v>790</v>
      </c>
      <c r="B396" s="4" t="s">
        <v>791</v>
      </c>
    </row>
    <row r="397">
      <c r="A397" s="4" t="s">
        <v>792</v>
      </c>
      <c r="B397" s="4" t="s">
        <v>793</v>
      </c>
    </row>
    <row r="398">
      <c r="A398" s="4" t="s">
        <v>794</v>
      </c>
      <c r="B398" s="4" t="s">
        <v>795</v>
      </c>
    </row>
    <row r="399">
      <c r="A399" s="4" t="s">
        <v>796</v>
      </c>
      <c r="B399" s="4" t="s">
        <v>797</v>
      </c>
    </row>
    <row r="400">
      <c r="A400" s="4" t="s">
        <v>798</v>
      </c>
      <c r="B400" s="4" t="s">
        <v>799</v>
      </c>
    </row>
    <row r="401">
      <c r="A401" s="4" t="s">
        <v>800</v>
      </c>
      <c r="B401" s="4" t="s">
        <v>801</v>
      </c>
    </row>
    <row r="402">
      <c r="A402" s="4" t="s">
        <v>802</v>
      </c>
      <c r="B402" s="4" t="s">
        <v>803</v>
      </c>
    </row>
    <row r="403">
      <c r="A403" s="4" t="s">
        <v>804</v>
      </c>
      <c r="B403" s="4" t="s">
        <v>805</v>
      </c>
    </row>
    <row r="404">
      <c r="A404" s="4" t="s">
        <v>806</v>
      </c>
      <c r="B404" s="4" t="s">
        <v>807</v>
      </c>
    </row>
    <row r="405">
      <c r="A405" s="4" t="s">
        <v>808</v>
      </c>
      <c r="B405" s="4" t="s">
        <v>809</v>
      </c>
    </row>
    <row r="406">
      <c r="A406" s="4" t="s">
        <v>810</v>
      </c>
      <c r="B406" s="4" t="s">
        <v>811</v>
      </c>
    </row>
    <row r="407">
      <c r="A407" s="4" t="s">
        <v>812</v>
      </c>
      <c r="B407" s="4" t="s">
        <v>813</v>
      </c>
    </row>
    <row r="408">
      <c r="A408" s="4" t="s">
        <v>814</v>
      </c>
      <c r="B408" s="4" t="s">
        <v>815</v>
      </c>
    </row>
    <row r="409">
      <c r="A409" s="4" t="s">
        <v>816</v>
      </c>
      <c r="B409" s="4" t="s">
        <v>817</v>
      </c>
    </row>
    <row r="410">
      <c r="A410" s="4" t="s">
        <v>818</v>
      </c>
      <c r="B410" s="4" t="s">
        <v>819</v>
      </c>
    </row>
    <row r="411">
      <c r="A411" s="4" t="s">
        <v>820</v>
      </c>
      <c r="B411" s="4" t="s">
        <v>821</v>
      </c>
    </row>
    <row r="412">
      <c r="A412" s="4" t="s">
        <v>822</v>
      </c>
      <c r="B412" s="4" t="s">
        <v>823</v>
      </c>
    </row>
    <row r="413">
      <c r="A413" s="4" t="s">
        <v>824</v>
      </c>
      <c r="B413" s="4" t="s">
        <v>825</v>
      </c>
    </row>
    <row r="414">
      <c r="A414" s="4" t="s">
        <v>826</v>
      </c>
      <c r="B414" s="4" t="s">
        <v>827</v>
      </c>
    </row>
    <row r="415">
      <c r="A415" s="4" t="s">
        <v>828</v>
      </c>
      <c r="B415" s="4" t="s">
        <v>829</v>
      </c>
    </row>
    <row r="416">
      <c r="A416" s="4" t="s">
        <v>830</v>
      </c>
      <c r="B416" s="4" t="s">
        <v>831</v>
      </c>
    </row>
    <row r="417">
      <c r="A417" s="4" t="s">
        <v>832</v>
      </c>
      <c r="B417" s="4" t="s">
        <v>833</v>
      </c>
    </row>
    <row r="418">
      <c r="A418" s="4" t="s">
        <v>834</v>
      </c>
      <c r="B418" s="4" t="s">
        <v>835</v>
      </c>
    </row>
    <row r="419">
      <c r="A419" s="4" t="s">
        <v>836</v>
      </c>
      <c r="B419" s="4" t="s">
        <v>837</v>
      </c>
    </row>
    <row r="420">
      <c r="A420" s="4" t="s">
        <v>838</v>
      </c>
      <c r="B420" s="4" t="s">
        <v>839</v>
      </c>
    </row>
    <row r="421">
      <c r="A421" s="4" t="s">
        <v>840</v>
      </c>
      <c r="B421" s="4" t="s">
        <v>841</v>
      </c>
    </row>
    <row r="422">
      <c r="A422" s="4" t="s">
        <v>842</v>
      </c>
      <c r="B422" s="4" t="s">
        <v>843</v>
      </c>
    </row>
    <row r="423">
      <c r="A423" s="4" t="s">
        <v>844</v>
      </c>
      <c r="B423" s="4" t="s">
        <v>845</v>
      </c>
    </row>
    <row r="424">
      <c r="A424" s="4" t="s">
        <v>846</v>
      </c>
      <c r="B424" s="4" t="s">
        <v>847</v>
      </c>
    </row>
    <row r="425">
      <c r="A425" s="4" t="s">
        <v>848</v>
      </c>
      <c r="B425" s="4" t="s">
        <v>849</v>
      </c>
    </row>
    <row r="426">
      <c r="A426" s="4" t="s">
        <v>850</v>
      </c>
      <c r="B426" s="4" t="s">
        <v>851</v>
      </c>
    </row>
    <row r="427">
      <c r="A427" s="4" t="s">
        <v>852</v>
      </c>
      <c r="B427" s="4" t="s">
        <v>853</v>
      </c>
    </row>
    <row r="428">
      <c r="A428" s="4" t="s">
        <v>854</v>
      </c>
      <c r="B428" s="4" t="s">
        <v>855</v>
      </c>
    </row>
    <row r="429">
      <c r="A429" s="4" t="s">
        <v>856</v>
      </c>
      <c r="B429" s="4" t="s">
        <v>857</v>
      </c>
    </row>
    <row r="430">
      <c r="A430" s="4" t="s">
        <v>858</v>
      </c>
      <c r="B430" s="4" t="s">
        <v>859</v>
      </c>
    </row>
    <row r="431">
      <c r="A431" s="4" t="s">
        <v>860</v>
      </c>
      <c r="B431" s="4" t="s">
        <v>861</v>
      </c>
    </row>
    <row r="432">
      <c r="A432" s="4" t="s">
        <v>862</v>
      </c>
      <c r="B432" s="4" t="s">
        <v>863</v>
      </c>
    </row>
    <row r="433">
      <c r="A433" s="4" t="s">
        <v>864</v>
      </c>
      <c r="B433" s="4" t="s">
        <v>865</v>
      </c>
    </row>
    <row r="434">
      <c r="A434" s="4" t="s">
        <v>866</v>
      </c>
      <c r="B434" s="4" t="s">
        <v>867</v>
      </c>
    </row>
    <row r="435">
      <c r="A435" s="4" t="s">
        <v>868</v>
      </c>
      <c r="B435" s="4" t="s">
        <v>869</v>
      </c>
    </row>
    <row r="436">
      <c r="A436" s="4" t="s">
        <v>870</v>
      </c>
      <c r="B436" s="4" t="s">
        <v>871</v>
      </c>
    </row>
    <row r="437">
      <c r="A437" s="4" t="s">
        <v>872</v>
      </c>
      <c r="B437" s="4" t="s">
        <v>873</v>
      </c>
    </row>
    <row r="438">
      <c r="A438" s="4" t="s">
        <v>874</v>
      </c>
      <c r="B438" s="4" t="s">
        <v>875</v>
      </c>
    </row>
    <row r="439">
      <c r="A439" s="4" t="s">
        <v>876</v>
      </c>
      <c r="B439" s="4" t="s">
        <v>877</v>
      </c>
    </row>
    <row r="440">
      <c r="A440" s="4" t="s">
        <v>878</v>
      </c>
      <c r="B440" s="4" t="s">
        <v>879</v>
      </c>
    </row>
    <row r="441">
      <c r="A441" s="4" t="s">
        <v>880</v>
      </c>
      <c r="B441" s="4" t="s">
        <v>881</v>
      </c>
    </row>
    <row r="442">
      <c r="A442" s="4" t="s">
        <v>882</v>
      </c>
      <c r="B442" s="4" t="s">
        <v>883</v>
      </c>
    </row>
    <row r="443">
      <c r="A443" s="4" t="s">
        <v>884</v>
      </c>
      <c r="B443" s="4" t="s">
        <v>885</v>
      </c>
    </row>
    <row r="444">
      <c r="A444" s="4" t="s">
        <v>886</v>
      </c>
      <c r="B444" s="4" t="s">
        <v>887</v>
      </c>
    </row>
    <row r="445">
      <c r="A445" s="4" t="s">
        <v>888</v>
      </c>
      <c r="B445" s="4" t="s">
        <v>889</v>
      </c>
    </row>
    <row r="446">
      <c r="A446" s="4" t="s">
        <v>890</v>
      </c>
      <c r="B446" s="4" t="s">
        <v>891</v>
      </c>
    </row>
    <row r="447">
      <c r="A447" s="4" t="s">
        <v>892</v>
      </c>
      <c r="B447" s="4" t="s">
        <v>893</v>
      </c>
    </row>
    <row r="448">
      <c r="A448" s="4" t="s">
        <v>894</v>
      </c>
      <c r="B448" s="4" t="s">
        <v>895</v>
      </c>
    </row>
    <row r="449">
      <c r="A449" s="4" t="s">
        <v>896</v>
      </c>
      <c r="B449" s="4" t="s">
        <v>897</v>
      </c>
    </row>
    <row r="450">
      <c r="A450" s="4" t="s">
        <v>898</v>
      </c>
      <c r="B450" s="4" t="s">
        <v>899</v>
      </c>
    </row>
    <row r="451">
      <c r="A451" s="4" t="s">
        <v>900</v>
      </c>
      <c r="B451" s="4" t="s">
        <v>901</v>
      </c>
    </row>
    <row r="452">
      <c r="A452" s="4" t="s">
        <v>902</v>
      </c>
      <c r="B452" s="4" t="s">
        <v>903</v>
      </c>
    </row>
    <row r="453">
      <c r="A453" s="4" t="s">
        <v>904</v>
      </c>
      <c r="B453" s="4" t="s">
        <v>905</v>
      </c>
    </row>
    <row r="454">
      <c r="A454" s="4" t="s">
        <v>906</v>
      </c>
      <c r="B454" s="4" t="s">
        <v>907</v>
      </c>
    </row>
    <row r="455">
      <c r="A455" s="4" t="s">
        <v>908</v>
      </c>
      <c r="B455" s="4" t="s">
        <v>909</v>
      </c>
    </row>
    <row r="456">
      <c r="A456" s="4" t="s">
        <v>910</v>
      </c>
      <c r="B456" s="4" t="s">
        <v>911</v>
      </c>
    </row>
    <row r="457">
      <c r="A457" s="4" t="s">
        <v>912</v>
      </c>
      <c r="B457" s="4" t="s">
        <v>913</v>
      </c>
    </row>
    <row r="458">
      <c r="A458" s="4" t="s">
        <v>914</v>
      </c>
      <c r="B458" s="4" t="s">
        <v>915</v>
      </c>
    </row>
    <row r="459">
      <c r="A459" s="4" t="s">
        <v>916</v>
      </c>
      <c r="B459" s="4" t="s">
        <v>917</v>
      </c>
    </row>
    <row r="460">
      <c r="A460" s="4" t="s">
        <v>918</v>
      </c>
      <c r="B460" s="4" t="s">
        <v>919</v>
      </c>
    </row>
    <row r="461">
      <c r="A461" s="4" t="s">
        <v>920</v>
      </c>
      <c r="B461" s="4" t="s">
        <v>921</v>
      </c>
    </row>
    <row r="462">
      <c r="A462" s="4" t="s">
        <v>922</v>
      </c>
      <c r="B462" s="4" t="s">
        <v>923</v>
      </c>
    </row>
    <row r="463">
      <c r="A463" s="4" t="s">
        <v>924</v>
      </c>
      <c r="B463" s="4" t="s">
        <v>925</v>
      </c>
    </row>
    <row r="464">
      <c r="A464" s="4" t="s">
        <v>926</v>
      </c>
      <c r="B464" s="4" t="s">
        <v>927</v>
      </c>
    </row>
    <row r="465">
      <c r="A465" s="4" t="s">
        <v>928</v>
      </c>
      <c r="B465" s="4" t="s">
        <v>929</v>
      </c>
    </row>
    <row r="466">
      <c r="A466" s="4" t="s">
        <v>930</v>
      </c>
      <c r="B466" s="4" t="s">
        <v>931</v>
      </c>
    </row>
    <row r="467">
      <c r="A467" s="4" t="s">
        <v>932</v>
      </c>
      <c r="B467" s="4" t="s">
        <v>933</v>
      </c>
    </row>
    <row r="468">
      <c r="A468" s="4" t="s">
        <v>934</v>
      </c>
      <c r="B468" s="4" t="s">
        <v>935</v>
      </c>
    </row>
    <row r="469">
      <c r="A469" s="4" t="s">
        <v>936</v>
      </c>
      <c r="B469" s="4" t="s">
        <v>937</v>
      </c>
    </row>
    <row r="470">
      <c r="A470" s="4" t="s">
        <v>938</v>
      </c>
      <c r="B470" s="4" t="s">
        <v>939</v>
      </c>
    </row>
    <row r="471">
      <c r="A471" s="4" t="s">
        <v>940</v>
      </c>
      <c r="B471" s="4" t="s">
        <v>941</v>
      </c>
    </row>
    <row r="472">
      <c r="A472" s="4" t="s">
        <v>942</v>
      </c>
      <c r="B472" s="4" t="s">
        <v>943</v>
      </c>
    </row>
    <row r="473">
      <c r="A473" s="4" t="s">
        <v>944</v>
      </c>
      <c r="B473" s="4" t="s">
        <v>945</v>
      </c>
    </row>
    <row r="474">
      <c r="A474" s="4" t="s">
        <v>946</v>
      </c>
      <c r="B474" s="4" t="s">
        <v>947</v>
      </c>
    </row>
    <row r="475">
      <c r="A475" s="4" t="s">
        <v>948</v>
      </c>
      <c r="B475" s="4" t="s">
        <v>949</v>
      </c>
    </row>
    <row r="476">
      <c r="A476" s="4" t="s">
        <v>950</v>
      </c>
      <c r="B476" s="4" t="s">
        <v>951</v>
      </c>
    </row>
    <row r="477">
      <c r="A477" s="4" t="s">
        <v>952</v>
      </c>
      <c r="B477" s="4" t="s">
        <v>953</v>
      </c>
    </row>
    <row r="478">
      <c r="A478" s="4" t="s">
        <v>954</v>
      </c>
      <c r="B478" s="4" t="s">
        <v>955</v>
      </c>
    </row>
    <row r="479">
      <c r="A479" s="4" t="s">
        <v>956</v>
      </c>
      <c r="B479" s="4" t="s">
        <v>957</v>
      </c>
    </row>
    <row r="480">
      <c r="A480" s="4" t="s">
        <v>958</v>
      </c>
      <c r="B480" s="4" t="s">
        <v>959</v>
      </c>
    </row>
    <row r="481">
      <c r="A481" s="4" t="s">
        <v>960</v>
      </c>
      <c r="B481" s="4" t="s">
        <v>961</v>
      </c>
    </row>
    <row r="482">
      <c r="A482" s="4" t="s">
        <v>962</v>
      </c>
      <c r="B482" s="4" t="s">
        <v>963</v>
      </c>
    </row>
    <row r="483">
      <c r="A483" s="4" t="s">
        <v>964</v>
      </c>
      <c r="B483" s="4" t="s">
        <v>965</v>
      </c>
    </row>
    <row r="484">
      <c r="A484" s="4" t="s">
        <v>966</v>
      </c>
      <c r="B484" s="4" t="s">
        <v>967</v>
      </c>
    </row>
    <row r="485">
      <c r="A485" s="4" t="s">
        <v>968</v>
      </c>
      <c r="B485" s="4" t="s">
        <v>969</v>
      </c>
    </row>
    <row r="486">
      <c r="A486" s="4" t="s">
        <v>970</v>
      </c>
      <c r="B486" s="4" t="s">
        <v>971</v>
      </c>
    </row>
    <row r="487">
      <c r="A487" s="4" t="s">
        <v>972</v>
      </c>
      <c r="B487" s="4" t="s">
        <v>973</v>
      </c>
    </row>
    <row r="488">
      <c r="A488" s="4" t="s">
        <v>974</v>
      </c>
      <c r="B488" s="4" t="s">
        <v>975</v>
      </c>
    </row>
    <row r="489">
      <c r="A489" s="4" t="s">
        <v>976</v>
      </c>
      <c r="B489" s="4" t="s">
        <v>977</v>
      </c>
    </row>
    <row r="490">
      <c r="A490" s="4" t="s">
        <v>978</v>
      </c>
      <c r="B490" s="4" t="s">
        <v>979</v>
      </c>
    </row>
    <row r="491">
      <c r="A491" s="4" t="s">
        <v>980</v>
      </c>
      <c r="B491" s="4" t="s">
        <v>981</v>
      </c>
    </row>
    <row r="492">
      <c r="A492" s="4" t="s">
        <v>982</v>
      </c>
      <c r="B492" s="4" t="s">
        <v>983</v>
      </c>
    </row>
    <row r="493">
      <c r="A493" s="4" t="s">
        <v>984</v>
      </c>
      <c r="B493" s="4" t="s">
        <v>985</v>
      </c>
    </row>
    <row r="494">
      <c r="A494" s="4" t="s">
        <v>986</v>
      </c>
      <c r="B494" s="4" t="s">
        <v>987</v>
      </c>
    </row>
    <row r="495">
      <c r="A495" s="4" t="s">
        <v>988</v>
      </c>
      <c r="B495" s="4" t="s">
        <v>989</v>
      </c>
    </row>
    <row r="496">
      <c r="A496" s="4" t="s">
        <v>990</v>
      </c>
      <c r="B496" s="4" t="s">
        <v>991</v>
      </c>
    </row>
    <row r="497">
      <c r="A497" s="4" t="s">
        <v>992</v>
      </c>
      <c r="B497" s="4" t="s">
        <v>993</v>
      </c>
    </row>
    <row r="498">
      <c r="A498" s="4" t="s">
        <v>994</v>
      </c>
      <c r="B498" s="4" t="s">
        <v>995</v>
      </c>
    </row>
    <row r="499">
      <c r="A499" s="4" t="s">
        <v>996</v>
      </c>
      <c r="B499" s="4" t="s">
        <v>997</v>
      </c>
    </row>
    <row r="500">
      <c r="A500" s="4" t="s">
        <v>998</v>
      </c>
      <c r="B500" s="4" t="s">
        <v>999</v>
      </c>
    </row>
    <row r="501">
      <c r="A501" s="4" t="s">
        <v>1000</v>
      </c>
      <c r="B501" s="4" t="s">
        <v>1001</v>
      </c>
    </row>
    <row r="502">
      <c r="A502" s="4" t="s">
        <v>1002</v>
      </c>
      <c r="B502" s="4" t="s">
        <v>1003</v>
      </c>
    </row>
    <row r="503">
      <c r="A503" s="4" t="s">
        <v>1004</v>
      </c>
      <c r="B503" s="4" t="s">
        <v>1005</v>
      </c>
    </row>
    <row r="504">
      <c r="A504" s="4" t="s">
        <v>1006</v>
      </c>
      <c r="B504" s="4" t="s">
        <v>1007</v>
      </c>
    </row>
    <row r="505">
      <c r="A505" s="4" t="s">
        <v>1008</v>
      </c>
      <c r="B505" s="4" t="s">
        <v>1009</v>
      </c>
    </row>
    <row r="506">
      <c r="A506" s="4" t="s">
        <v>1010</v>
      </c>
      <c r="B506" s="4" t="s">
        <v>1011</v>
      </c>
    </row>
    <row r="507">
      <c r="A507" s="4" t="s">
        <v>1012</v>
      </c>
      <c r="B507" s="4" t="s">
        <v>1013</v>
      </c>
    </row>
    <row r="508">
      <c r="A508" s="4" t="s">
        <v>1014</v>
      </c>
      <c r="B508" s="4" t="s">
        <v>1015</v>
      </c>
    </row>
    <row r="509">
      <c r="A509" s="4" t="s">
        <v>1016</v>
      </c>
      <c r="B509" s="4" t="s">
        <v>1017</v>
      </c>
    </row>
    <row r="510">
      <c r="A510" s="4" t="s">
        <v>1018</v>
      </c>
      <c r="B510" s="4" t="s">
        <v>1019</v>
      </c>
    </row>
    <row r="511">
      <c r="A511" s="4" t="s">
        <v>1020</v>
      </c>
      <c r="B511" s="4" t="s">
        <v>1021</v>
      </c>
    </row>
    <row r="512">
      <c r="A512" s="4" t="s">
        <v>1022</v>
      </c>
      <c r="B512" s="4" t="s">
        <v>1023</v>
      </c>
    </row>
    <row r="513">
      <c r="A513" s="4" t="s">
        <v>1024</v>
      </c>
      <c r="B513" s="4" t="s">
        <v>1025</v>
      </c>
    </row>
    <row r="514">
      <c r="A514" s="4" t="s">
        <v>1026</v>
      </c>
      <c r="B514" s="4" t="s">
        <v>1027</v>
      </c>
    </row>
    <row r="515">
      <c r="A515" s="4" t="s">
        <v>1028</v>
      </c>
      <c r="B515" s="4" t="s">
        <v>1029</v>
      </c>
    </row>
    <row r="516">
      <c r="A516" s="4" t="s">
        <v>1030</v>
      </c>
      <c r="B516" s="4" t="s">
        <v>1031</v>
      </c>
    </row>
    <row r="517">
      <c r="A517" s="4" t="s">
        <v>1032</v>
      </c>
      <c r="B517" s="4" t="s">
        <v>1033</v>
      </c>
    </row>
    <row r="518">
      <c r="A518" s="4" t="s">
        <v>1034</v>
      </c>
      <c r="B518" s="4" t="s">
        <v>1035</v>
      </c>
    </row>
    <row r="519">
      <c r="A519" s="4" t="s">
        <v>1036</v>
      </c>
      <c r="B519" s="4" t="s">
        <v>1037</v>
      </c>
    </row>
    <row r="520">
      <c r="A520" s="4" t="s">
        <v>1038</v>
      </c>
      <c r="B520" s="4" t="s">
        <v>1039</v>
      </c>
    </row>
    <row r="521">
      <c r="A521" s="4" t="s">
        <v>1040</v>
      </c>
      <c r="B521" s="4" t="s">
        <v>1041</v>
      </c>
    </row>
    <row r="522">
      <c r="A522" s="4" t="s">
        <v>1042</v>
      </c>
      <c r="B522" s="4" t="s">
        <v>1043</v>
      </c>
    </row>
    <row r="523">
      <c r="A523" s="4" t="s">
        <v>1044</v>
      </c>
      <c r="B523" s="4" t="s">
        <v>1045</v>
      </c>
    </row>
    <row r="524">
      <c r="A524" s="4" t="s">
        <v>1046</v>
      </c>
      <c r="B524" s="4" t="s">
        <v>1047</v>
      </c>
    </row>
    <row r="525">
      <c r="A525" s="4" t="s">
        <v>1048</v>
      </c>
      <c r="B525" s="4" t="s">
        <v>1049</v>
      </c>
    </row>
    <row r="526">
      <c r="A526" s="4" t="s">
        <v>1050</v>
      </c>
      <c r="B526" s="4" t="s">
        <v>1051</v>
      </c>
    </row>
    <row r="527">
      <c r="A527" s="4" t="s">
        <v>1052</v>
      </c>
      <c r="B527" s="4" t="s">
        <v>1053</v>
      </c>
    </row>
    <row r="528">
      <c r="A528" s="4" t="s">
        <v>1054</v>
      </c>
      <c r="B528" s="4" t="s">
        <v>1055</v>
      </c>
    </row>
    <row r="529">
      <c r="A529" s="4" t="s">
        <v>1056</v>
      </c>
      <c r="B529" s="4" t="s">
        <v>1057</v>
      </c>
    </row>
    <row r="530">
      <c r="A530" s="4" t="s">
        <v>1058</v>
      </c>
      <c r="B530" s="4" t="s">
        <v>1059</v>
      </c>
    </row>
    <row r="531">
      <c r="A531" s="4" t="s">
        <v>1060</v>
      </c>
      <c r="B531" s="4" t="s">
        <v>1061</v>
      </c>
    </row>
    <row r="532">
      <c r="A532" s="4" t="s">
        <v>1062</v>
      </c>
      <c r="B532" s="4" t="s">
        <v>1063</v>
      </c>
    </row>
    <row r="533">
      <c r="A533" s="4" t="s">
        <v>1064</v>
      </c>
      <c r="B533" s="4" t="s">
        <v>1065</v>
      </c>
    </row>
    <row r="534">
      <c r="A534" s="4" t="s">
        <v>1066</v>
      </c>
      <c r="B534" s="4" t="s">
        <v>1067</v>
      </c>
    </row>
    <row r="535">
      <c r="A535" s="4" t="s">
        <v>1068</v>
      </c>
      <c r="B535" s="4" t="s">
        <v>1069</v>
      </c>
    </row>
    <row r="536">
      <c r="A536" s="4" t="s">
        <v>1070</v>
      </c>
      <c r="B536" s="4" t="s">
        <v>1071</v>
      </c>
    </row>
    <row r="537">
      <c r="A537" s="4" t="s">
        <v>1072</v>
      </c>
      <c r="B537" s="4" t="s">
        <v>1073</v>
      </c>
    </row>
    <row r="538">
      <c r="A538" s="4" t="s">
        <v>1074</v>
      </c>
      <c r="B538" s="4" t="s">
        <v>1075</v>
      </c>
    </row>
    <row r="539">
      <c r="A539" s="4" t="s">
        <v>1076</v>
      </c>
      <c r="B539" s="4" t="s">
        <v>1077</v>
      </c>
    </row>
    <row r="540">
      <c r="A540" s="4" t="s">
        <v>1078</v>
      </c>
      <c r="B540" s="4" t="s">
        <v>1079</v>
      </c>
    </row>
    <row r="541">
      <c r="A541" s="4" t="s">
        <v>1080</v>
      </c>
      <c r="B541" s="4" t="s">
        <v>1081</v>
      </c>
    </row>
    <row r="542">
      <c r="A542" s="4" t="s">
        <v>1082</v>
      </c>
      <c r="B542" s="4" t="s">
        <v>1083</v>
      </c>
    </row>
    <row r="543">
      <c r="A543" s="4" t="s">
        <v>1084</v>
      </c>
      <c r="B543" s="4" t="s">
        <v>1085</v>
      </c>
    </row>
    <row r="544">
      <c r="A544" s="4" t="s">
        <v>1086</v>
      </c>
      <c r="B544" s="4" t="s">
        <v>1087</v>
      </c>
    </row>
    <row r="545">
      <c r="A545" s="4" t="s">
        <v>1088</v>
      </c>
      <c r="B545" s="4" t="s">
        <v>1089</v>
      </c>
    </row>
    <row r="546">
      <c r="A546" s="4" t="s">
        <v>1090</v>
      </c>
      <c r="B546" s="4" t="s">
        <v>1091</v>
      </c>
    </row>
    <row r="547">
      <c r="A547" s="4" t="s">
        <v>1092</v>
      </c>
      <c r="B547" s="4" t="s">
        <v>1093</v>
      </c>
    </row>
    <row r="548">
      <c r="A548" s="4" t="s">
        <v>1094</v>
      </c>
      <c r="B548" s="4" t="s">
        <v>1095</v>
      </c>
    </row>
    <row r="549">
      <c r="A549" s="4" t="s">
        <v>1096</v>
      </c>
      <c r="B549" s="4" t="s">
        <v>1097</v>
      </c>
    </row>
    <row r="550">
      <c r="A550" s="4" t="s">
        <v>1098</v>
      </c>
      <c r="B550" s="4" t="s">
        <v>1099</v>
      </c>
    </row>
    <row r="551">
      <c r="A551" s="4" t="s">
        <v>1100</v>
      </c>
      <c r="B551" s="4" t="s">
        <v>1101</v>
      </c>
    </row>
    <row r="552">
      <c r="A552" s="4" t="s">
        <v>1102</v>
      </c>
      <c r="B552" s="4" t="s">
        <v>1103</v>
      </c>
    </row>
    <row r="553">
      <c r="A553" s="4" t="s">
        <v>1104</v>
      </c>
      <c r="B553" s="4" t="s">
        <v>1105</v>
      </c>
    </row>
    <row r="554">
      <c r="A554" s="4" t="s">
        <v>1106</v>
      </c>
      <c r="B554" s="4" t="s">
        <v>1107</v>
      </c>
    </row>
    <row r="555">
      <c r="A555" s="4" t="s">
        <v>1108</v>
      </c>
      <c r="B555" s="4" t="s">
        <v>1109</v>
      </c>
    </row>
    <row r="556">
      <c r="A556" s="4" t="s">
        <v>1110</v>
      </c>
      <c r="B556" s="4" t="s">
        <v>1111</v>
      </c>
    </row>
    <row r="557">
      <c r="A557" s="4" t="s">
        <v>1112</v>
      </c>
      <c r="B557" s="4" t="s">
        <v>1113</v>
      </c>
    </row>
    <row r="558">
      <c r="A558" s="4" t="s">
        <v>1114</v>
      </c>
      <c r="B558" s="4" t="s">
        <v>1115</v>
      </c>
    </row>
    <row r="559">
      <c r="A559" s="4" t="s">
        <v>1116</v>
      </c>
      <c r="B559" s="4" t="s">
        <v>1117</v>
      </c>
    </row>
    <row r="560">
      <c r="A560" s="4" t="s">
        <v>1118</v>
      </c>
      <c r="B560" s="4" t="s">
        <v>1119</v>
      </c>
    </row>
    <row r="561">
      <c r="A561" s="4" t="s">
        <v>1120</v>
      </c>
      <c r="B561" s="4" t="s">
        <v>1121</v>
      </c>
    </row>
    <row r="562">
      <c r="A562" s="4" t="s">
        <v>1122</v>
      </c>
      <c r="B562" s="4" t="s">
        <v>1123</v>
      </c>
    </row>
    <row r="563">
      <c r="A563" s="4" t="s">
        <v>1124</v>
      </c>
      <c r="B563" s="4" t="s">
        <v>1125</v>
      </c>
    </row>
    <row r="564">
      <c r="A564" s="4" t="s">
        <v>1126</v>
      </c>
      <c r="B564" s="4" t="s">
        <v>1127</v>
      </c>
    </row>
    <row r="565">
      <c r="A565" s="4" t="s">
        <v>1128</v>
      </c>
      <c r="B565" s="4" t="s">
        <v>1129</v>
      </c>
    </row>
    <row r="566">
      <c r="A566" s="4" t="s">
        <v>1130</v>
      </c>
      <c r="B566" s="4" t="s">
        <v>1131</v>
      </c>
    </row>
    <row r="567">
      <c r="A567" s="4" t="s">
        <v>1132</v>
      </c>
      <c r="B567" s="4" t="s">
        <v>1133</v>
      </c>
    </row>
    <row r="568">
      <c r="A568" s="4" t="s">
        <v>1134</v>
      </c>
      <c r="B568" s="4" t="s">
        <v>1135</v>
      </c>
    </row>
    <row r="569">
      <c r="A569" s="4" t="s">
        <v>1136</v>
      </c>
      <c r="B569" s="4" t="s">
        <v>1137</v>
      </c>
    </row>
    <row r="570">
      <c r="A570" s="4" t="s">
        <v>1138</v>
      </c>
      <c r="B570" s="4" t="s">
        <v>1139</v>
      </c>
    </row>
    <row r="571">
      <c r="A571" s="4" t="s">
        <v>1140</v>
      </c>
      <c r="B571" s="4" t="s">
        <v>1141</v>
      </c>
    </row>
    <row r="572">
      <c r="A572" s="4" t="s">
        <v>1142</v>
      </c>
      <c r="B572" s="4" t="s">
        <v>1143</v>
      </c>
    </row>
    <row r="573">
      <c r="A573" s="4" t="s">
        <v>1144</v>
      </c>
      <c r="B573" s="4" t="s">
        <v>1145</v>
      </c>
    </row>
    <row r="574">
      <c r="A574" s="4" t="s">
        <v>1146</v>
      </c>
      <c r="B574" s="4" t="s">
        <v>1147</v>
      </c>
    </row>
    <row r="575">
      <c r="A575" s="4" t="s">
        <v>1148</v>
      </c>
      <c r="B575" s="4" t="s">
        <v>1149</v>
      </c>
    </row>
    <row r="576">
      <c r="A576" s="4" t="s">
        <v>1150</v>
      </c>
      <c r="B576" s="4" t="s">
        <v>1151</v>
      </c>
    </row>
    <row r="577">
      <c r="A577" s="4" t="s">
        <v>1152</v>
      </c>
      <c r="B577" s="4" t="s">
        <v>1153</v>
      </c>
    </row>
    <row r="578">
      <c r="A578" s="4" t="s">
        <v>1154</v>
      </c>
      <c r="B578" s="4" t="s">
        <v>1155</v>
      </c>
    </row>
    <row r="579">
      <c r="A579" s="4" t="s">
        <v>1156</v>
      </c>
      <c r="B579" s="4" t="s">
        <v>1157</v>
      </c>
    </row>
    <row r="580">
      <c r="A580" s="4" t="s">
        <v>1158</v>
      </c>
      <c r="B580" s="4" t="s">
        <v>1159</v>
      </c>
    </row>
    <row r="581">
      <c r="A581" s="4" t="s">
        <v>1160</v>
      </c>
      <c r="B581" s="4" t="s">
        <v>1161</v>
      </c>
    </row>
    <row r="582">
      <c r="A582" s="4" t="s">
        <v>1162</v>
      </c>
      <c r="B582" s="4" t="s">
        <v>1163</v>
      </c>
    </row>
    <row r="583">
      <c r="A583" s="4" t="s">
        <v>1164</v>
      </c>
      <c r="B583" s="4" t="s">
        <v>1165</v>
      </c>
    </row>
    <row r="584">
      <c r="A584" s="4" t="s">
        <v>1166</v>
      </c>
      <c r="B584" s="4" t="s">
        <v>1167</v>
      </c>
    </row>
    <row r="585">
      <c r="A585" s="4" t="s">
        <v>1168</v>
      </c>
      <c r="B585" s="4" t="s">
        <v>1169</v>
      </c>
    </row>
    <row r="586">
      <c r="A586" s="4" t="s">
        <v>1170</v>
      </c>
      <c r="B586" s="4" t="s">
        <v>1171</v>
      </c>
    </row>
    <row r="587">
      <c r="A587" s="4" t="s">
        <v>1172</v>
      </c>
      <c r="B587" s="4" t="s">
        <v>1173</v>
      </c>
    </row>
    <row r="588">
      <c r="A588" s="4" t="s">
        <v>1174</v>
      </c>
      <c r="B588" s="4" t="s">
        <v>1175</v>
      </c>
    </row>
    <row r="589">
      <c r="A589" s="4" t="s">
        <v>1176</v>
      </c>
      <c r="B589" s="4" t="s">
        <v>1177</v>
      </c>
    </row>
    <row r="590">
      <c r="A590" s="4" t="s">
        <v>1178</v>
      </c>
      <c r="B590" s="4" t="s">
        <v>1179</v>
      </c>
    </row>
    <row r="591">
      <c r="A591" s="4" t="s">
        <v>1180</v>
      </c>
      <c r="B591" s="4" t="s">
        <v>1181</v>
      </c>
    </row>
    <row r="592">
      <c r="A592" s="4" t="s">
        <v>1182</v>
      </c>
      <c r="B592" s="4" t="s">
        <v>1183</v>
      </c>
    </row>
    <row r="593">
      <c r="A593" s="4" t="s">
        <v>1184</v>
      </c>
      <c r="B593" s="4" t="s">
        <v>1185</v>
      </c>
    </row>
    <row r="594">
      <c r="A594" s="4" t="s">
        <v>1186</v>
      </c>
      <c r="B594" s="4" t="s">
        <v>1187</v>
      </c>
    </row>
    <row r="595">
      <c r="A595" s="4" t="s">
        <v>1188</v>
      </c>
      <c r="B595" s="4" t="s">
        <v>1189</v>
      </c>
    </row>
    <row r="596">
      <c r="A596" s="4" t="s">
        <v>1190</v>
      </c>
      <c r="B596" s="4" t="s">
        <v>1191</v>
      </c>
    </row>
    <row r="597">
      <c r="A597" s="4" t="s">
        <v>1192</v>
      </c>
      <c r="B597" s="4" t="s">
        <v>1193</v>
      </c>
    </row>
    <row r="598">
      <c r="A598" s="4" t="s">
        <v>1194</v>
      </c>
      <c r="B598" s="4" t="s">
        <v>1195</v>
      </c>
    </row>
    <row r="599">
      <c r="A599" s="4" t="s">
        <v>1196</v>
      </c>
      <c r="B599" s="4" t="s">
        <v>1197</v>
      </c>
    </row>
    <row r="600">
      <c r="A600" s="4" t="s">
        <v>1198</v>
      </c>
      <c r="B600" s="4" t="s">
        <v>1199</v>
      </c>
    </row>
    <row r="601">
      <c r="A601" s="4" t="s">
        <v>1200</v>
      </c>
      <c r="B601" s="4" t="s">
        <v>1201</v>
      </c>
    </row>
    <row r="602">
      <c r="A602" s="4" t="s">
        <v>1202</v>
      </c>
      <c r="B602" s="4" t="s">
        <v>1203</v>
      </c>
    </row>
    <row r="603">
      <c r="A603" s="4" t="s">
        <v>1204</v>
      </c>
      <c r="B603" s="4" t="s">
        <v>1205</v>
      </c>
    </row>
    <row r="604">
      <c r="A604" s="4" t="s">
        <v>1206</v>
      </c>
      <c r="B604" s="4" t="s">
        <v>1207</v>
      </c>
    </row>
    <row r="605">
      <c r="A605" s="4" t="s">
        <v>1208</v>
      </c>
      <c r="B605" s="4" t="s">
        <v>1209</v>
      </c>
    </row>
    <row r="606">
      <c r="A606" s="4" t="s">
        <v>1210</v>
      </c>
      <c r="B606" s="4" t="s">
        <v>1211</v>
      </c>
    </row>
    <row r="607">
      <c r="A607" s="4" t="s">
        <v>1212</v>
      </c>
      <c r="B607" s="4" t="s">
        <v>1213</v>
      </c>
    </row>
    <row r="608">
      <c r="A608" s="4" t="s">
        <v>1214</v>
      </c>
      <c r="B608" s="4" t="s">
        <v>1215</v>
      </c>
    </row>
    <row r="609">
      <c r="A609" s="4" t="s">
        <v>1216</v>
      </c>
      <c r="B609" s="4" t="s">
        <v>1217</v>
      </c>
    </row>
    <row r="610">
      <c r="A610" s="4" t="s">
        <v>1218</v>
      </c>
      <c r="B610" s="4" t="s">
        <v>1219</v>
      </c>
    </row>
    <row r="611">
      <c r="A611" s="4" t="s">
        <v>1220</v>
      </c>
      <c r="B611" s="4" t="s">
        <v>1221</v>
      </c>
    </row>
    <row r="612">
      <c r="A612" s="4" t="s">
        <v>1222</v>
      </c>
      <c r="B612" s="4" t="s">
        <v>1223</v>
      </c>
    </row>
    <row r="613">
      <c r="A613" s="4" t="s">
        <v>1224</v>
      </c>
      <c r="B613" s="4" t="s">
        <v>1225</v>
      </c>
    </row>
    <row r="614">
      <c r="A614" s="4" t="s">
        <v>1226</v>
      </c>
      <c r="B614" s="4" t="s">
        <v>1227</v>
      </c>
    </row>
    <row r="615">
      <c r="A615" s="4" t="s">
        <v>1228</v>
      </c>
      <c r="B615" s="4" t="s">
        <v>1229</v>
      </c>
    </row>
    <row r="616">
      <c r="A616" s="4" t="s">
        <v>1230</v>
      </c>
      <c r="B616" s="4" t="s">
        <v>1231</v>
      </c>
    </row>
    <row r="617">
      <c r="A617" s="4" t="s">
        <v>1232</v>
      </c>
      <c r="B617" s="4" t="s">
        <v>1233</v>
      </c>
    </row>
    <row r="618">
      <c r="A618" s="4" t="s">
        <v>1234</v>
      </c>
      <c r="B618" s="4" t="s">
        <v>1235</v>
      </c>
    </row>
    <row r="619">
      <c r="A619" s="4" t="s">
        <v>1236</v>
      </c>
      <c r="B619" s="4" t="s">
        <v>1237</v>
      </c>
    </row>
    <row r="620">
      <c r="A620" s="4" t="s">
        <v>1238</v>
      </c>
      <c r="B620" s="4" t="s">
        <v>1239</v>
      </c>
    </row>
    <row r="621">
      <c r="A621" s="4" t="s">
        <v>1240</v>
      </c>
      <c r="B621" s="4" t="s">
        <v>1241</v>
      </c>
    </row>
    <row r="622">
      <c r="A622" s="4" t="s">
        <v>1242</v>
      </c>
      <c r="B622" s="4" t="s">
        <v>1243</v>
      </c>
    </row>
    <row r="623">
      <c r="A623" s="4" t="s">
        <v>1244</v>
      </c>
      <c r="B623" s="4" t="s">
        <v>1245</v>
      </c>
    </row>
    <row r="624">
      <c r="A624" s="4" t="s">
        <v>1246</v>
      </c>
      <c r="B624" s="4" t="s">
        <v>1247</v>
      </c>
    </row>
    <row r="625">
      <c r="A625" s="4" t="s">
        <v>1248</v>
      </c>
      <c r="B625" s="4" t="s">
        <v>1249</v>
      </c>
    </row>
    <row r="626">
      <c r="A626" s="4" t="s">
        <v>1250</v>
      </c>
      <c r="B626" s="4" t="s">
        <v>1251</v>
      </c>
    </row>
    <row r="627">
      <c r="A627" s="4" t="s">
        <v>1252</v>
      </c>
      <c r="B627" s="4" t="s">
        <v>1253</v>
      </c>
    </row>
    <row r="628">
      <c r="A628" s="4" t="s">
        <v>1254</v>
      </c>
      <c r="B628" s="4" t="s">
        <v>1255</v>
      </c>
    </row>
    <row r="629">
      <c r="A629" s="4" t="s">
        <v>1256</v>
      </c>
      <c r="B629" s="4" t="s">
        <v>1257</v>
      </c>
    </row>
    <row r="630">
      <c r="A630" s="4" t="s">
        <v>1258</v>
      </c>
      <c r="B630" s="4" t="s">
        <v>1259</v>
      </c>
    </row>
    <row r="631">
      <c r="A631" s="4" t="s">
        <v>1260</v>
      </c>
      <c r="B631" s="4" t="s">
        <v>1261</v>
      </c>
    </row>
    <row r="632">
      <c r="A632" s="4" t="s">
        <v>1262</v>
      </c>
      <c r="B632" s="4" t="s">
        <v>1263</v>
      </c>
    </row>
    <row r="633">
      <c r="A633" s="4" t="s">
        <v>1264</v>
      </c>
      <c r="B633" s="4" t="s">
        <v>1265</v>
      </c>
    </row>
    <row r="634">
      <c r="A634" s="4" t="s">
        <v>1266</v>
      </c>
      <c r="B634" s="4" t="s">
        <v>1267</v>
      </c>
    </row>
    <row r="635">
      <c r="A635" s="4" t="s">
        <v>1268</v>
      </c>
      <c r="B635" s="4" t="s">
        <v>1269</v>
      </c>
    </row>
    <row r="636">
      <c r="A636" s="4" t="s">
        <v>1270</v>
      </c>
      <c r="B636" s="4" t="s">
        <v>1271</v>
      </c>
    </row>
    <row r="637">
      <c r="A637" s="4" t="s">
        <v>1272</v>
      </c>
      <c r="B637" s="4" t="s">
        <v>1273</v>
      </c>
    </row>
    <row r="638">
      <c r="A638" s="4" t="s">
        <v>1274</v>
      </c>
      <c r="B638" s="4" t="s">
        <v>1275</v>
      </c>
    </row>
    <row r="639">
      <c r="A639" s="4" t="s">
        <v>1276</v>
      </c>
      <c r="B639" s="4" t="s">
        <v>1277</v>
      </c>
    </row>
    <row r="640">
      <c r="A640" s="4" t="s">
        <v>1278</v>
      </c>
      <c r="B640" s="4" t="s">
        <v>1279</v>
      </c>
    </row>
    <row r="641">
      <c r="A641" s="4" t="s">
        <v>1280</v>
      </c>
      <c r="B641" s="4" t="s">
        <v>1281</v>
      </c>
    </row>
    <row r="642">
      <c r="A642" s="4" t="s">
        <v>1282</v>
      </c>
      <c r="B642" s="4" t="s">
        <v>1283</v>
      </c>
    </row>
    <row r="643">
      <c r="A643" s="4" t="s">
        <v>1284</v>
      </c>
      <c r="B643" s="4" t="s">
        <v>1285</v>
      </c>
    </row>
    <row r="644">
      <c r="A644" s="4" t="s">
        <v>1286</v>
      </c>
      <c r="B644" s="4" t="s">
        <v>1287</v>
      </c>
    </row>
    <row r="645">
      <c r="A645" s="4" t="s">
        <v>1288</v>
      </c>
      <c r="B645" s="4" t="s">
        <v>1289</v>
      </c>
    </row>
    <row r="646">
      <c r="A646" s="4" t="s">
        <v>1290</v>
      </c>
      <c r="B646" s="4" t="s">
        <v>1291</v>
      </c>
    </row>
    <row r="647">
      <c r="A647" s="4" t="s">
        <v>1292</v>
      </c>
      <c r="B647" s="4" t="s">
        <v>1293</v>
      </c>
    </row>
    <row r="648">
      <c r="A648" s="4" t="s">
        <v>1294</v>
      </c>
      <c r="B648" s="4" t="s">
        <v>1295</v>
      </c>
    </row>
    <row r="649">
      <c r="A649" s="4" t="s">
        <v>1296</v>
      </c>
      <c r="B649" s="4" t="s">
        <v>1297</v>
      </c>
    </row>
    <row r="650">
      <c r="A650" s="4" t="s">
        <v>1298</v>
      </c>
      <c r="B650" s="4" t="s">
        <v>1299</v>
      </c>
    </row>
    <row r="651">
      <c r="A651" s="4" t="s">
        <v>1300</v>
      </c>
      <c r="B651" s="4" t="s">
        <v>1301</v>
      </c>
    </row>
    <row r="652">
      <c r="A652" s="4" t="s">
        <v>1302</v>
      </c>
      <c r="B652" s="4" t="s">
        <v>1303</v>
      </c>
    </row>
    <row r="653">
      <c r="A653" s="4" t="s">
        <v>1304</v>
      </c>
      <c r="B653" s="4" t="s">
        <v>1305</v>
      </c>
    </row>
    <row r="654">
      <c r="A654" s="4" t="s">
        <v>1306</v>
      </c>
      <c r="B654" s="4" t="s">
        <v>1307</v>
      </c>
    </row>
    <row r="655">
      <c r="A655" s="4" t="s">
        <v>1308</v>
      </c>
      <c r="B655" s="4" t="s">
        <v>1309</v>
      </c>
    </row>
    <row r="656">
      <c r="A656" s="4" t="s">
        <v>1310</v>
      </c>
      <c r="B656" s="4" t="s">
        <v>1311</v>
      </c>
    </row>
    <row r="657">
      <c r="A657" s="4" t="s">
        <v>1312</v>
      </c>
      <c r="B657" s="4" t="s">
        <v>1313</v>
      </c>
    </row>
    <row r="658">
      <c r="A658" s="4" t="s">
        <v>1314</v>
      </c>
      <c r="B658" s="4" t="s">
        <v>1315</v>
      </c>
    </row>
    <row r="659">
      <c r="A659" s="4" t="s">
        <v>1316</v>
      </c>
      <c r="B659" s="4" t="s">
        <v>1317</v>
      </c>
    </row>
    <row r="660">
      <c r="A660" s="4" t="s">
        <v>1318</v>
      </c>
      <c r="B660" s="4" t="s">
        <v>1319</v>
      </c>
    </row>
    <row r="661">
      <c r="A661" s="4" t="s">
        <v>1320</v>
      </c>
      <c r="B661" s="4" t="s">
        <v>1321</v>
      </c>
    </row>
    <row r="662">
      <c r="A662" s="4" t="s">
        <v>1322</v>
      </c>
      <c r="B662" s="4" t="s">
        <v>1323</v>
      </c>
    </row>
    <row r="663">
      <c r="A663" s="4" t="s">
        <v>1324</v>
      </c>
      <c r="B663" s="4" t="s">
        <v>1325</v>
      </c>
    </row>
    <row r="664">
      <c r="A664" s="4" t="s">
        <v>1326</v>
      </c>
      <c r="B664" s="4" t="s">
        <v>1327</v>
      </c>
    </row>
    <row r="665">
      <c r="A665" s="4" t="s">
        <v>1328</v>
      </c>
      <c r="B665" s="4" t="s">
        <v>1329</v>
      </c>
    </row>
    <row r="666">
      <c r="A666" s="4" t="s">
        <v>1330</v>
      </c>
      <c r="B666" s="4" t="s">
        <v>1331</v>
      </c>
    </row>
    <row r="667">
      <c r="A667" s="4" t="s">
        <v>1332</v>
      </c>
      <c r="B667" s="4" t="s">
        <v>1333</v>
      </c>
    </row>
    <row r="668">
      <c r="A668" s="4" t="s">
        <v>1334</v>
      </c>
      <c r="B668" s="4" t="s">
        <v>1335</v>
      </c>
    </row>
    <row r="669">
      <c r="A669" s="4" t="s">
        <v>1336</v>
      </c>
      <c r="B669" s="4" t="s">
        <v>1337</v>
      </c>
    </row>
    <row r="670">
      <c r="A670" s="4" t="s">
        <v>1338</v>
      </c>
      <c r="B670" s="4" t="s">
        <v>1339</v>
      </c>
    </row>
    <row r="671">
      <c r="A671" s="4" t="s">
        <v>1340</v>
      </c>
      <c r="B671" s="4" t="s">
        <v>1341</v>
      </c>
    </row>
    <row r="672">
      <c r="A672" s="4" t="s">
        <v>1342</v>
      </c>
      <c r="B672" s="4" t="s">
        <v>1343</v>
      </c>
    </row>
    <row r="673">
      <c r="A673" s="4" t="s">
        <v>1344</v>
      </c>
      <c r="B673" s="4" t="s">
        <v>1345</v>
      </c>
    </row>
    <row r="674">
      <c r="A674" s="4" t="s">
        <v>1346</v>
      </c>
      <c r="B674" s="4" t="s">
        <v>1347</v>
      </c>
    </row>
    <row r="675">
      <c r="A675" s="4" t="s">
        <v>1348</v>
      </c>
      <c r="B675" s="4" t="s">
        <v>1349</v>
      </c>
    </row>
    <row r="676">
      <c r="A676" s="4" t="s">
        <v>1350</v>
      </c>
      <c r="B676" s="4" t="s">
        <v>1351</v>
      </c>
    </row>
    <row r="677">
      <c r="A677" s="4" t="s">
        <v>1352</v>
      </c>
      <c r="B677" s="4" t="s">
        <v>1353</v>
      </c>
    </row>
    <row r="678">
      <c r="A678" s="4" t="s">
        <v>1354</v>
      </c>
      <c r="B678" s="4" t="s">
        <v>1355</v>
      </c>
    </row>
    <row r="679">
      <c r="A679" s="4" t="s">
        <v>1356</v>
      </c>
      <c r="B679" s="4" t="s">
        <v>1357</v>
      </c>
    </row>
    <row r="680">
      <c r="A680" s="4" t="s">
        <v>1358</v>
      </c>
      <c r="B680" s="4" t="s">
        <v>1359</v>
      </c>
    </row>
    <row r="681">
      <c r="A681" s="4" t="s">
        <v>1360</v>
      </c>
      <c r="B681" s="4" t="s">
        <v>1361</v>
      </c>
    </row>
    <row r="682">
      <c r="A682" s="4" t="s">
        <v>1362</v>
      </c>
      <c r="B682" s="4" t="s">
        <v>1363</v>
      </c>
    </row>
    <row r="683">
      <c r="A683" s="4" t="s">
        <v>1364</v>
      </c>
      <c r="B683" s="4" t="s">
        <v>1365</v>
      </c>
    </row>
    <row r="684">
      <c r="A684" s="4" t="s">
        <v>1366</v>
      </c>
      <c r="B684" s="4" t="s">
        <v>1367</v>
      </c>
    </row>
    <row r="685">
      <c r="A685" s="4" t="s">
        <v>1368</v>
      </c>
      <c r="B685" s="4" t="s">
        <v>1369</v>
      </c>
    </row>
    <row r="686">
      <c r="A686" s="4" t="s">
        <v>1370</v>
      </c>
      <c r="B686" s="4" t="s">
        <v>1371</v>
      </c>
    </row>
    <row r="687">
      <c r="A687" s="4" t="s">
        <v>1372</v>
      </c>
      <c r="B687" s="4" t="s">
        <v>1373</v>
      </c>
    </row>
    <row r="688">
      <c r="A688" s="4" t="s">
        <v>1374</v>
      </c>
      <c r="B688" s="4" t="s">
        <v>1375</v>
      </c>
    </row>
    <row r="689">
      <c r="A689" s="4" t="s">
        <v>1376</v>
      </c>
      <c r="B689" s="4" t="s">
        <v>1377</v>
      </c>
    </row>
    <row r="690">
      <c r="A690" s="4" t="s">
        <v>1378</v>
      </c>
      <c r="B690" s="4" t="s">
        <v>1379</v>
      </c>
    </row>
    <row r="691">
      <c r="A691" s="4" t="s">
        <v>1380</v>
      </c>
      <c r="B691" s="4" t="s">
        <v>1381</v>
      </c>
    </row>
    <row r="692">
      <c r="A692" s="4" t="s">
        <v>1382</v>
      </c>
      <c r="B692" s="4" t="s">
        <v>1383</v>
      </c>
    </row>
    <row r="693">
      <c r="A693" s="4" t="s">
        <v>1384</v>
      </c>
      <c r="B693" s="4" t="s">
        <v>1385</v>
      </c>
    </row>
    <row r="694">
      <c r="A694" s="4" t="s">
        <v>1386</v>
      </c>
      <c r="B694" s="4" t="s">
        <v>1387</v>
      </c>
    </row>
    <row r="695">
      <c r="A695" s="4" t="s">
        <v>1388</v>
      </c>
      <c r="B695" s="4" t="s">
        <v>1389</v>
      </c>
    </row>
    <row r="696">
      <c r="A696" s="4" t="s">
        <v>1390</v>
      </c>
      <c r="B696" s="4" t="s">
        <v>1391</v>
      </c>
    </row>
    <row r="697">
      <c r="A697" s="4" t="s">
        <v>1392</v>
      </c>
      <c r="B697" s="4" t="s">
        <v>1393</v>
      </c>
    </row>
    <row r="698">
      <c r="A698" s="4" t="s">
        <v>1394</v>
      </c>
      <c r="B698" s="4" t="s">
        <v>1395</v>
      </c>
    </row>
    <row r="699">
      <c r="A699" s="4" t="s">
        <v>1396</v>
      </c>
      <c r="B699" s="4" t="s">
        <v>1397</v>
      </c>
    </row>
    <row r="700">
      <c r="A700" s="4" t="s">
        <v>1398</v>
      </c>
      <c r="B700" s="4" t="s">
        <v>1399</v>
      </c>
    </row>
    <row r="701">
      <c r="A701" s="4" t="s">
        <v>1400</v>
      </c>
      <c r="B701" s="4" t="s">
        <v>1401</v>
      </c>
    </row>
    <row r="702">
      <c r="A702" s="4" t="s">
        <v>1402</v>
      </c>
      <c r="B702" s="4" t="s">
        <v>1403</v>
      </c>
    </row>
    <row r="703">
      <c r="A703" s="4" t="s">
        <v>1404</v>
      </c>
      <c r="B703" s="4" t="s">
        <v>1405</v>
      </c>
    </row>
    <row r="704">
      <c r="A704" s="4" t="s">
        <v>1406</v>
      </c>
      <c r="B704" s="4" t="s">
        <v>1407</v>
      </c>
    </row>
    <row r="705">
      <c r="A705" s="4" t="s">
        <v>1408</v>
      </c>
      <c r="B705" s="4" t="s">
        <v>1409</v>
      </c>
    </row>
    <row r="706">
      <c r="A706" s="4" t="s">
        <v>1410</v>
      </c>
      <c r="B706" s="4" t="s">
        <v>1411</v>
      </c>
    </row>
    <row r="707">
      <c r="A707" s="4" t="s">
        <v>1412</v>
      </c>
      <c r="B707" s="4" t="s">
        <v>1413</v>
      </c>
    </row>
    <row r="708">
      <c r="A708" s="4" t="s">
        <v>1414</v>
      </c>
      <c r="B708" s="4" t="s">
        <v>1415</v>
      </c>
    </row>
    <row r="709">
      <c r="A709" s="4" t="s">
        <v>1416</v>
      </c>
      <c r="B709" s="4" t="s">
        <v>1417</v>
      </c>
    </row>
    <row r="710">
      <c r="A710" s="4" t="s">
        <v>1418</v>
      </c>
      <c r="B710" s="4" t="s">
        <v>1419</v>
      </c>
    </row>
    <row r="711">
      <c r="A711" s="4" t="s">
        <v>1420</v>
      </c>
      <c r="B711" s="4" t="s">
        <v>1421</v>
      </c>
    </row>
    <row r="712">
      <c r="A712" s="4" t="s">
        <v>1422</v>
      </c>
      <c r="B712" s="4" t="s">
        <v>1423</v>
      </c>
    </row>
    <row r="713">
      <c r="A713" s="4" t="s">
        <v>1424</v>
      </c>
      <c r="B713" s="4" t="s">
        <v>1425</v>
      </c>
    </row>
    <row r="714">
      <c r="A714" s="4" t="s">
        <v>1426</v>
      </c>
      <c r="B714" s="4" t="s">
        <v>1427</v>
      </c>
    </row>
    <row r="715">
      <c r="A715" s="4" t="s">
        <v>1428</v>
      </c>
      <c r="B715" s="4" t="s">
        <v>1429</v>
      </c>
    </row>
    <row r="716">
      <c r="A716" s="4" t="s">
        <v>1430</v>
      </c>
      <c r="B716" s="4" t="s">
        <v>1431</v>
      </c>
    </row>
    <row r="717">
      <c r="A717" s="4" t="s">
        <v>1432</v>
      </c>
      <c r="B717" s="4" t="s">
        <v>1433</v>
      </c>
    </row>
    <row r="718">
      <c r="A718" s="4" t="s">
        <v>1434</v>
      </c>
      <c r="B718" s="4" t="s">
        <v>1435</v>
      </c>
    </row>
    <row r="719">
      <c r="A719" s="4" t="s">
        <v>1436</v>
      </c>
      <c r="B719" s="4" t="s">
        <v>1437</v>
      </c>
    </row>
    <row r="720">
      <c r="A720" s="4" t="s">
        <v>1438</v>
      </c>
      <c r="B720" s="4" t="s">
        <v>1439</v>
      </c>
    </row>
    <row r="721">
      <c r="A721" s="4" t="s">
        <v>1440</v>
      </c>
      <c r="B721" s="4" t="s">
        <v>1441</v>
      </c>
    </row>
    <row r="722">
      <c r="A722" s="4" t="s">
        <v>1442</v>
      </c>
      <c r="B722" s="4" t="s">
        <v>1443</v>
      </c>
    </row>
    <row r="723">
      <c r="A723" s="4" t="s">
        <v>1444</v>
      </c>
      <c r="B723" s="4" t="s">
        <v>1445</v>
      </c>
    </row>
    <row r="724">
      <c r="A724" s="4" t="s">
        <v>1446</v>
      </c>
      <c r="B724" s="4" t="s">
        <v>1447</v>
      </c>
    </row>
    <row r="725">
      <c r="A725" s="4" t="s">
        <v>1448</v>
      </c>
      <c r="B725" s="4" t="s">
        <v>1449</v>
      </c>
    </row>
    <row r="726">
      <c r="A726" s="4" t="s">
        <v>1450</v>
      </c>
      <c r="B726" s="4" t="s">
        <v>1451</v>
      </c>
    </row>
    <row r="727">
      <c r="A727" s="4" t="s">
        <v>1452</v>
      </c>
      <c r="B727" s="4" t="s">
        <v>1453</v>
      </c>
    </row>
    <row r="728">
      <c r="A728" s="4" t="s">
        <v>1454</v>
      </c>
      <c r="B728" s="4" t="s">
        <v>1455</v>
      </c>
    </row>
    <row r="729">
      <c r="A729" s="4" t="s">
        <v>1456</v>
      </c>
      <c r="B729" s="4" t="s">
        <v>1457</v>
      </c>
    </row>
    <row r="730">
      <c r="A730" s="4" t="s">
        <v>1458</v>
      </c>
      <c r="B730" s="4" t="s">
        <v>1459</v>
      </c>
    </row>
    <row r="731">
      <c r="A731" s="4" t="s">
        <v>1460</v>
      </c>
      <c r="B731" s="4" t="s">
        <v>1461</v>
      </c>
    </row>
    <row r="732">
      <c r="A732" s="4" t="s">
        <v>1462</v>
      </c>
      <c r="B732" s="4" t="s">
        <v>1463</v>
      </c>
    </row>
    <row r="733">
      <c r="A733" s="4" t="s">
        <v>1464</v>
      </c>
      <c r="B733" s="4" t="s">
        <v>1465</v>
      </c>
    </row>
    <row r="734">
      <c r="A734" s="4" t="s">
        <v>1466</v>
      </c>
      <c r="B734" s="4" t="s">
        <v>1467</v>
      </c>
    </row>
    <row r="735">
      <c r="A735" s="4" t="s">
        <v>1468</v>
      </c>
      <c r="B735" s="4" t="s">
        <v>1469</v>
      </c>
    </row>
    <row r="736">
      <c r="A736" s="4" t="s">
        <v>1470</v>
      </c>
      <c r="B736" s="4" t="s">
        <v>1471</v>
      </c>
    </row>
    <row r="737">
      <c r="A737" s="4" t="s">
        <v>1472</v>
      </c>
      <c r="B737" s="4" t="s">
        <v>1473</v>
      </c>
    </row>
    <row r="738">
      <c r="A738" s="4" t="s">
        <v>1474</v>
      </c>
      <c r="B738" s="4" t="s">
        <v>1475</v>
      </c>
    </row>
    <row r="739">
      <c r="A739" s="4" t="s">
        <v>1476</v>
      </c>
      <c r="B739" s="4" t="s">
        <v>1477</v>
      </c>
    </row>
    <row r="740">
      <c r="A740" s="4" t="s">
        <v>1478</v>
      </c>
      <c r="B740" s="4" t="s">
        <v>1479</v>
      </c>
    </row>
    <row r="741">
      <c r="A741" s="4" t="s">
        <v>1480</v>
      </c>
      <c r="B741" s="4" t="s">
        <v>1481</v>
      </c>
    </row>
    <row r="742">
      <c r="A742" s="4" t="s">
        <v>1482</v>
      </c>
      <c r="B742" s="4" t="s">
        <v>1483</v>
      </c>
    </row>
    <row r="743">
      <c r="A743" s="4" t="s">
        <v>1484</v>
      </c>
      <c r="B743" s="4" t="s">
        <v>1485</v>
      </c>
    </row>
    <row r="744">
      <c r="A744" s="4" t="s">
        <v>1486</v>
      </c>
      <c r="B744" s="4" t="s">
        <v>1487</v>
      </c>
    </row>
    <row r="745">
      <c r="A745" s="4" t="s">
        <v>1488</v>
      </c>
      <c r="B745" s="4" t="s">
        <v>1489</v>
      </c>
    </row>
    <row r="746">
      <c r="A746" s="4" t="s">
        <v>1490</v>
      </c>
      <c r="B746" s="4" t="s">
        <v>1491</v>
      </c>
    </row>
    <row r="747">
      <c r="A747" s="4" t="s">
        <v>1492</v>
      </c>
      <c r="B747" s="4" t="s">
        <v>1493</v>
      </c>
    </row>
    <row r="748">
      <c r="A748" s="4" t="s">
        <v>1494</v>
      </c>
      <c r="B748" s="4" t="s">
        <v>1495</v>
      </c>
    </row>
    <row r="749">
      <c r="A749" s="4" t="s">
        <v>1496</v>
      </c>
      <c r="B749" s="4" t="s">
        <v>1497</v>
      </c>
    </row>
    <row r="750">
      <c r="A750" s="4" t="s">
        <v>1498</v>
      </c>
      <c r="B750" s="4" t="s">
        <v>1499</v>
      </c>
    </row>
    <row r="751">
      <c r="A751" s="4" t="s">
        <v>1500</v>
      </c>
      <c r="B751" s="4" t="s">
        <v>1501</v>
      </c>
    </row>
    <row r="752">
      <c r="A752" s="4" t="s">
        <v>1502</v>
      </c>
      <c r="B752" s="4" t="s">
        <v>1503</v>
      </c>
    </row>
    <row r="753">
      <c r="A753" s="4" t="s">
        <v>1504</v>
      </c>
      <c r="B753" s="4" t="s">
        <v>1505</v>
      </c>
    </row>
    <row r="754">
      <c r="A754" s="4" t="s">
        <v>1506</v>
      </c>
      <c r="B754" s="4" t="s">
        <v>1507</v>
      </c>
    </row>
    <row r="755">
      <c r="A755" s="4" t="s">
        <v>1508</v>
      </c>
      <c r="B755" s="4" t="s">
        <v>1509</v>
      </c>
    </row>
    <row r="756">
      <c r="A756" s="4" t="s">
        <v>1510</v>
      </c>
      <c r="B756" s="4" t="s">
        <v>1511</v>
      </c>
    </row>
    <row r="757">
      <c r="A757" s="4" t="s">
        <v>1512</v>
      </c>
      <c r="B757" s="4" t="s">
        <v>1513</v>
      </c>
    </row>
    <row r="758">
      <c r="A758" s="4" t="s">
        <v>1514</v>
      </c>
      <c r="B758" s="4" t="s">
        <v>1515</v>
      </c>
    </row>
    <row r="759">
      <c r="A759" s="4" t="s">
        <v>1516</v>
      </c>
      <c r="B759" s="4" t="s">
        <v>1517</v>
      </c>
    </row>
    <row r="760">
      <c r="A760" s="4" t="s">
        <v>1518</v>
      </c>
      <c r="B760" s="4" t="s">
        <v>1519</v>
      </c>
    </row>
    <row r="761">
      <c r="A761" s="4" t="s">
        <v>1520</v>
      </c>
      <c r="B761" s="4" t="s">
        <v>1521</v>
      </c>
    </row>
    <row r="762">
      <c r="A762" s="4" t="s">
        <v>1522</v>
      </c>
      <c r="B762" s="4" t="s">
        <v>1523</v>
      </c>
    </row>
    <row r="763">
      <c r="A763" s="4" t="s">
        <v>1524</v>
      </c>
      <c r="B763" s="4" t="s">
        <v>1525</v>
      </c>
    </row>
    <row r="764">
      <c r="A764" s="4" t="s">
        <v>1526</v>
      </c>
      <c r="B764" s="4" t="s">
        <v>1527</v>
      </c>
    </row>
    <row r="765">
      <c r="A765" s="4" t="s">
        <v>1528</v>
      </c>
      <c r="B765" s="4" t="s">
        <v>1529</v>
      </c>
    </row>
    <row r="766">
      <c r="A766" s="4" t="s">
        <v>1530</v>
      </c>
      <c r="B766" s="4" t="s">
        <v>1531</v>
      </c>
    </row>
    <row r="767">
      <c r="A767" s="4" t="s">
        <v>1532</v>
      </c>
      <c r="B767" s="4" t="s">
        <v>1533</v>
      </c>
    </row>
    <row r="768">
      <c r="A768" s="4" t="s">
        <v>1534</v>
      </c>
      <c r="B768" s="4" t="s">
        <v>1535</v>
      </c>
    </row>
    <row r="769">
      <c r="A769" s="4" t="s">
        <v>1536</v>
      </c>
      <c r="B769" s="4" t="s">
        <v>1537</v>
      </c>
    </row>
    <row r="770">
      <c r="A770" s="4" t="s">
        <v>1538</v>
      </c>
      <c r="B770" s="4" t="s">
        <v>1539</v>
      </c>
    </row>
    <row r="771">
      <c r="A771" s="4" t="s">
        <v>1540</v>
      </c>
      <c r="B771" s="4" t="s">
        <v>1541</v>
      </c>
    </row>
    <row r="772">
      <c r="A772" s="4" t="s">
        <v>1542</v>
      </c>
      <c r="B772" s="4" t="s">
        <v>1543</v>
      </c>
    </row>
    <row r="773">
      <c r="A773" s="4" t="s">
        <v>1544</v>
      </c>
      <c r="B773" s="4" t="s">
        <v>1545</v>
      </c>
    </row>
    <row r="774">
      <c r="A774" s="4" t="s">
        <v>1546</v>
      </c>
      <c r="B774" s="4" t="s">
        <v>1547</v>
      </c>
    </row>
    <row r="775">
      <c r="A775" s="4" t="s">
        <v>1548</v>
      </c>
      <c r="B775" s="4" t="s">
        <v>1549</v>
      </c>
    </row>
    <row r="776">
      <c r="A776" s="4" t="s">
        <v>1550</v>
      </c>
      <c r="B776" s="4" t="s">
        <v>1551</v>
      </c>
    </row>
    <row r="777">
      <c r="A777" s="4" t="s">
        <v>1552</v>
      </c>
      <c r="B777" s="4" t="s">
        <v>1553</v>
      </c>
    </row>
    <row r="778">
      <c r="A778" s="4" t="s">
        <v>1554</v>
      </c>
      <c r="B778" s="4" t="s">
        <v>1555</v>
      </c>
    </row>
    <row r="779">
      <c r="A779" s="4" t="s">
        <v>1556</v>
      </c>
      <c r="B779" s="4" t="s">
        <v>1557</v>
      </c>
    </row>
    <row r="780">
      <c r="A780" s="4" t="s">
        <v>1558</v>
      </c>
      <c r="B780" s="4" t="s">
        <v>1559</v>
      </c>
    </row>
    <row r="781">
      <c r="A781" s="4" t="s">
        <v>1560</v>
      </c>
      <c r="B781" s="4" t="s">
        <v>1561</v>
      </c>
    </row>
    <row r="782">
      <c r="A782" s="4" t="s">
        <v>1562</v>
      </c>
      <c r="B782" s="4" t="s">
        <v>1563</v>
      </c>
    </row>
    <row r="783">
      <c r="A783" s="4" t="s">
        <v>1564</v>
      </c>
      <c r="B783" s="4" t="s">
        <v>1565</v>
      </c>
    </row>
    <row r="784">
      <c r="A784" s="4" t="s">
        <v>1566</v>
      </c>
      <c r="B784" s="4" t="s">
        <v>1567</v>
      </c>
    </row>
    <row r="785">
      <c r="A785" s="4" t="s">
        <v>1568</v>
      </c>
      <c r="B785" s="4" t="s">
        <v>1569</v>
      </c>
    </row>
    <row r="786">
      <c r="A786" s="4" t="s">
        <v>1570</v>
      </c>
      <c r="B786" s="4" t="s">
        <v>1571</v>
      </c>
    </row>
    <row r="787">
      <c r="A787" s="4" t="s">
        <v>1572</v>
      </c>
      <c r="B787" s="4" t="s">
        <v>1573</v>
      </c>
    </row>
    <row r="788">
      <c r="A788" s="4" t="s">
        <v>1574</v>
      </c>
      <c r="B788" s="4" t="s">
        <v>1575</v>
      </c>
    </row>
    <row r="789">
      <c r="A789" s="4" t="s">
        <v>1576</v>
      </c>
      <c r="B789" s="4" t="s">
        <v>1577</v>
      </c>
    </row>
    <row r="790">
      <c r="A790" s="4" t="s">
        <v>1578</v>
      </c>
      <c r="B790" s="4" t="s">
        <v>1579</v>
      </c>
    </row>
    <row r="791">
      <c r="A791" s="4" t="s">
        <v>1580</v>
      </c>
      <c r="B791" s="4" t="s">
        <v>1581</v>
      </c>
    </row>
    <row r="792">
      <c r="A792" s="4" t="s">
        <v>1582</v>
      </c>
      <c r="B792" s="4" t="s">
        <v>1583</v>
      </c>
    </row>
    <row r="793">
      <c r="A793" s="4" t="s">
        <v>1584</v>
      </c>
      <c r="B793" s="4" t="s">
        <v>1585</v>
      </c>
    </row>
    <row r="794">
      <c r="A794" s="4" t="s">
        <v>1586</v>
      </c>
      <c r="B794" s="4" t="s">
        <v>1587</v>
      </c>
    </row>
    <row r="795">
      <c r="A795" s="4" t="s">
        <v>1588</v>
      </c>
      <c r="B795" s="4" t="s">
        <v>1589</v>
      </c>
    </row>
    <row r="796">
      <c r="A796" s="4" t="s">
        <v>1590</v>
      </c>
      <c r="B796" s="4" t="s">
        <v>1591</v>
      </c>
    </row>
    <row r="797">
      <c r="A797" s="4" t="s">
        <v>1592</v>
      </c>
      <c r="B797" s="4" t="s">
        <v>1593</v>
      </c>
    </row>
    <row r="798">
      <c r="A798" s="4" t="s">
        <v>1594</v>
      </c>
      <c r="B798" s="4" t="s">
        <v>1595</v>
      </c>
    </row>
    <row r="799">
      <c r="A799" s="4" t="s">
        <v>1596</v>
      </c>
      <c r="B799" s="4" t="s">
        <v>1597</v>
      </c>
    </row>
    <row r="800">
      <c r="A800" s="4" t="s">
        <v>1598</v>
      </c>
      <c r="B800" s="4" t="s">
        <v>1599</v>
      </c>
    </row>
    <row r="801">
      <c r="A801" s="4" t="s">
        <v>1600</v>
      </c>
      <c r="B801" s="4" t="s">
        <v>1601</v>
      </c>
    </row>
    <row r="802">
      <c r="A802" s="4" t="s">
        <v>1602</v>
      </c>
      <c r="B802" s="4" t="s">
        <v>1603</v>
      </c>
    </row>
    <row r="803">
      <c r="A803" s="4" t="s">
        <v>1604</v>
      </c>
      <c r="B803" s="4" t="s">
        <v>1605</v>
      </c>
    </row>
    <row r="804">
      <c r="A804" s="4" t="s">
        <v>1606</v>
      </c>
      <c r="B804" s="4" t="s">
        <v>1607</v>
      </c>
    </row>
    <row r="805">
      <c r="A805" s="4" t="s">
        <v>1608</v>
      </c>
      <c r="B805" s="4" t="s">
        <v>1609</v>
      </c>
    </row>
    <row r="806">
      <c r="A806" s="4" t="s">
        <v>1610</v>
      </c>
      <c r="B806" s="4" t="s">
        <v>1611</v>
      </c>
    </row>
    <row r="807">
      <c r="A807" s="4" t="s">
        <v>1612</v>
      </c>
      <c r="B807" s="4" t="s">
        <v>1613</v>
      </c>
    </row>
    <row r="808">
      <c r="A808" s="4" t="s">
        <v>1614</v>
      </c>
      <c r="B808" s="4" t="s">
        <v>1615</v>
      </c>
    </row>
    <row r="809">
      <c r="A809" s="4" t="s">
        <v>1616</v>
      </c>
      <c r="B809" s="4" t="s">
        <v>1617</v>
      </c>
    </row>
    <row r="810">
      <c r="A810" s="4" t="s">
        <v>1618</v>
      </c>
      <c r="B810" s="4" t="s">
        <v>1619</v>
      </c>
    </row>
    <row r="811">
      <c r="A811" s="4" t="s">
        <v>1620</v>
      </c>
      <c r="B811" s="4" t="s">
        <v>1621</v>
      </c>
    </row>
    <row r="812">
      <c r="A812" s="4" t="s">
        <v>1622</v>
      </c>
      <c r="B812" s="4" t="s">
        <v>1623</v>
      </c>
    </row>
    <row r="813">
      <c r="A813" s="4" t="s">
        <v>1624</v>
      </c>
      <c r="B813" s="4" t="s">
        <v>1625</v>
      </c>
    </row>
    <row r="814">
      <c r="A814" s="4" t="s">
        <v>1626</v>
      </c>
      <c r="B814" s="4" t="s">
        <v>1627</v>
      </c>
    </row>
    <row r="815">
      <c r="A815" s="4" t="s">
        <v>1628</v>
      </c>
      <c r="B815" s="4" t="s">
        <v>1629</v>
      </c>
    </row>
    <row r="816">
      <c r="A816" s="4" t="s">
        <v>1630</v>
      </c>
      <c r="B816" s="4" t="s">
        <v>1631</v>
      </c>
    </row>
    <row r="817">
      <c r="A817" s="4" t="s">
        <v>1632</v>
      </c>
      <c r="B817" s="4" t="s">
        <v>1633</v>
      </c>
    </row>
    <row r="818">
      <c r="A818" s="4" t="s">
        <v>1634</v>
      </c>
      <c r="B818" s="4" t="s">
        <v>1635</v>
      </c>
    </row>
    <row r="819">
      <c r="A819" s="4" t="s">
        <v>1636</v>
      </c>
      <c r="B819" s="4" t="s">
        <v>1637</v>
      </c>
    </row>
    <row r="820">
      <c r="A820" s="4" t="s">
        <v>1638</v>
      </c>
      <c r="B820" s="4" t="s">
        <v>1639</v>
      </c>
    </row>
    <row r="821">
      <c r="A821" s="4" t="s">
        <v>1640</v>
      </c>
      <c r="B821" s="4" t="s">
        <v>1641</v>
      </c>
    </row>
    <row r="822">
      <c r="A822" s="4" t="s">
        <v>1642</v>
      </c>
      <c r="B822" s="4" t="s">
        <v>1643</v>
      </c>
    </row>
    <row r="823">
      <c r="A823" s="4" t="s">
        <v>1644</v>
      </c>
      <c r="B823" s="4" t="s">
        <v>1645</v>
      </c>
    </row>
    <row r="824">
      <c r="A824" s="4" t="s">
        <v>1646</v>
      </c>
      <c r="B824" s="4" t="s">
        <v>1647</v>
      </c>
    </row>
    <row r="825">
      <c r="A825" s="4" t="s">
        <v>1648</v>
      </c>
      <c r="B825" s="4" t="s">
        <v>1649</v>
      </c>
    </row>
    <row r="826">
      <c r="A826" s="4" t="s">
        <v>1650</v>
      </c>
      <c r="B826" s="4" t="s">
        <v>1651</v>
      </c>
    </row>
    <row r="827">
      <c r="A827" s="4" t="s">
        <v>1652</v>
      </c>
      <c r="B827" s="4" t="s">
        <v>1653</v>
      </c>
    </row>
    <row r="828">
      <c r="A828" s="4" t="s">
        <v>1654</v>
      </c>
      <c r="B828" s="4" t="s">
        <v>1655</v>
      </c>
    </row>
    <row r="829">
      <c r="A829" s="4" t="s">
        <v>1656</v>
      </c>
      <c r="B829" s="4" t="s">
        <v>1657</v>
      </c>
    </row>
    <row r="830">
      <c r="A830" s="4" t="s">
        <v>1658</v>
      </c>
      <c r="B830" s="4" t="s">
        <v>1659</v>
      </c>
    </row>
    <row r="831">
      <c r="A831" s="4" t="s">
        <v>1660</v>
      </c>
      <c r="B831" s="4" t="s">
        <v>1661</v>
      </c>
    </row>
    <row r="832">
      <c r="A832" s="4" t="s">
        <v>1662</v>
      </c>
      <c r="B832" s="4" t="s">
        <v>1663</v>
      </c>
    </row>
    <row r="833">
      <c r="A833" s="4" t="s">
        <v>1664</v>
      </c>
      <c r="B833" s="4" t="s">
        <v>1665</v>
      </c>
    </row>
    <row r="834">
      <c r="A834" s="4" t="s">
        <v>1666</v>
      </c>
      <c r="B834" s="4" t="s">
        <v>1667</v>
      </c>
    </row>
    <row r="835">
      <c r="A835" s="4" t="s">
        <v>1668</v>
      </c>
      <c r="B835" s="4" t="s">
        <v>1669</v>
      </c>
    </row>
    <row r="836">
      <c r="A836" s="4" t="s">
        <v>1670</v>
      </c>
      <c r="B836" s="4" t="s">
        <v>1671</v>
      </c>
    </row>
    <row r="837">
      <c r="A837" s="4" t="s">
        <v>1672</v>
      </c>
      <c r="B837" s="4" t="s">
        <v>1673</v>
      </c>
    </row>
    <row r="838">
      <c r="A838" s="4" t="s">
        <v>1674</v>
      </c>
      <c r="B838" s="4" t="s">
        <v>1675</v>
      </c>
    </row>
    <row r="839">
      <c r="A839" s="4" t="s">
        <v>1676</v>
      </c>
      <c r="B839" s="4" t="s">
        <v>1677</v>
      </c>
    </row>
    <row r="840">
      <c r="A840" s="4" t="s">
        <v>1678</v>
      </c>
      <c r="B840" s="4" t="s">
        <v>1679</v>
      </c>
    </row>
    <row r="841">
      <c r="A841" s="4" t="s">
        <v>1680</v>
      </c>
      <c r="B841" s="4" t="s">
        <v>1681</v>
      </c>
    </row>
    <row r="842">
      <c r="A842" s="4" t="s">
        <v>1682</v>
      </c>
      <c r="B842" s="4" t="s">
        <v>1683</v>
      </c>
    </row>
    <row r="843">
      <c r="A843" s="4" t="s">
        <v>1684</v>
      </c>
      <c r="B843" s="4" t="s">
        <v>1685</v>
      </c>
    </row>
    <row r="844">
      <c r="A844" s="4" t="s">
        <v>1686</v>
      </c>
      <c r="B844" s="4" t="s">
        <v>1687</v>
      </c>
    </row>
    <row r="845">
      <c r="A845" s="4" t="s">
        <v>1688</v>
      </c>
      <c r="B845" s="4" t="s">
        <v>1689</v>
      </c>
    </row>
    <row r="846">
      <c r="A846" s="4" t="s">
        <v>1690</v>
      </c>
      <c r="B846" s="4" t="s">
        <v>1691</v>
      </c>
    </row>
    <row r="847">
      <c r="A847" s="4" t="s">
        <v>1692</v>
      </c>
      <c r="B847" s="4" t="s">
        <v>1693</v>
      </c>
    </row>
    <row r="848">
      <c r="A848" s="4" t="s">
        <v>1694</v>
      </c>
      <c r="B848" s="4" t="s">
        <v>1695</v>
      </c>
    </row>
    <row r="849">
      <c r="A849" s="4" t="s">
        <v>1696</v>
      </c>
      <c r="B849" s="4" t="s">
        <v>1697</v>
      </c>
    </row>
    <row r="850">
      <c r="A850" s="4" t="s">
        <v>1698</v>
      </c>
      <c r="B850" s="4" t="s">
        <v>1699</v>
      </c>
    </row>
    <row r="851">
      <c r="A851" s="4" t="s">
        <v>1700</v>
      </c>
      <c r="B851" s="4" t="s">
        <v>1701</v>
      </c>
    </row>
    <row r="852">
      <c r="A852" s="4" t="s">
        <v>1702</v>
      </c>
      <c r="B852" s="4" t="s">
        <v>1703</v>
      </c>
    </row>
    <row r="853">
      <c r="A853" s="4" t="s">
        <v>1704</v>
      </c>
      <c r="B853" s="4" t="s">
        <v>1705</v>
      </c>
    </row>
    <row r="854">
      <c r="A854" s="4" t="s">
        <v>1706</v>
      </c>
      <c r="B854" s="4" t="s">
        <v>1707</v>
      </c>
    </row>
    <row r="855">
      <c r="A855" s="4" t="s">
        <v>1708</v>
      </c>
      <c r="B855" s="4" t="s">
        <v>1709</v>
      </c>
    </row>
    <row r="856">
      <c r="A856" s="4" t="s">
        <v>1710</v>
      </c>
      <c r="B856" s="4" t="s">
        <v>1711</v>
      </c>
    </row>
    <row r="857">
      <c r="A857" s="4" t="s">
        <v>1712</v>
      </c>
      <c r="B857" s="4" t="s">
        <v>1713</v>
      </c>
    </row>
    <row r="858">
      <c r="A858" s="4" t="s">
        <v>1714</v>
      </c>
      <c r="B858" s="4" t="s">
        <v>1715</v>
      </c>
    </row>
    <row r="859">
      <c r="A859" s="4" t="s">
        <v>1716</v>
      </c>
      <c r="B859" s="4" t="s">
        <v>1717</v>
      </c>
    </row>
    <row r="860">
      <c r="A860" s="4" t="s">
        <v>1718</v>
      </c>
      <c r="B860" s="4" t="s">
        <v>1719</v>
      </c>
    </row>
    <row r="861">
      <c r="A861" s="4" t="s">
        <v>1720</v>
      </c>
      <c r="B861" s="4" t="s">
        <v>1721</v>
      </c>
    </row>
    <row r="862">
      <c r="A862" s="4" t="s">
        <v>1722</v>
      </c>
      <c r="B862" s="4" t="s">
        <v>1723</v>
      </c>
    </row>
    <row r="863">
      <c r="A863" s="4" t="s">
        <v>1724</v>
      </c>
      <c r="B863" s="4" t="s">
        <v>1725</v>
      </c>
    </row>
    <row r="864">
      <c r="A864" s="4" t="s">
        <v>1726</v>
      </c>
      <c r="B864" s="4" t="s">
        <v>1727</v>
      </c>
    </row>
    <row r="865">
      <c r="A865" s="4" t="s">
        <v>1728</v>
      </c>
      <c r="B865" s="4" t="s">
        <v>1729</v>
      </c>
    </row>
    <row r="866">
      <c r="A866" s="4" t="s">
        <v>1730</v>
      </c>
      <c r="B866" s="4" t="s">
        <v>1731</v>
      </c>
    </row>
    <row r="867">
      <c r="A867" s="4" t="s">
        <v>1732</v>
      </c>
      <c r="B867" s="4" t="s">
        <v>1733</v>
      </c>
    </row>
    <row r="868">
      <c r="A868" s="4" t="s">
        <v>1734</v>
      </c>
      <c r="B868" s="4" t="s">
        <v>1735</v>
      </c>
    </row>
    <row r="869">
      <c r="A869" s="4" t="s">
        <v>1736</v>
      </c>
      <c r="B869" s="4" t="s">
        <v>1737</v>
      </c>
    </row>
    <row r="870">
      <c r="A870" s="4" t="s">
        <v>1738</v>
      </c>
      <c r="B870" s="4" t="s">
        <v>1739</v>
      </c>
    </row>
    <row r="871">
      <c r="A871" s="4" t="s">
        <v>1740</v>
      </c>
      <c r="B871" s="4" t="s">
        <v>1741</v>
      </c>
    </row>
    <row r="872">
      <c r="A872" s="4" t="s">
        <v>1742</v>
      </c>
      <c r="B872" s="4" t="s">
        <v>1743</v>
      </c>
    </row>
    <row r="873">
      <c r="A873" s="4" t="s">
        <v>1744</v>
      </c>
      <c r="B873" s="4" t="s">
        <v>1745</v>
      </c>
    </row>
    <row r="874">
      <c r="A874" s="4" t="s">
        <v>1746</v>
      </c>
      <c r="B874" s="4" t="s">
        <v>1747</v>
      </c>
    </row>
    <row r="875">
      <c r="A875" s="4" t="s">
        <v>1748</v>
      </c>
      <c r="B875" s="4" t="s">
        <v>1749</v>
      </c>
    </row>
    <row r="876">
      <c r="A876" s="4" t="s">
        <v>1750</v>
      </c>
      <c r="B876" s="4" t="s">
        <v>1751</v>
      </c>
    </row>
    <row r="877">
      <c r="A877" s="4" t="s">
        <v>1752</v>
      </c>
      <c r="B877" s="4" t="s">
        <v>1753</v>
      </c>
    </row>
    <row r="878">
      <c r="A878" s="4" t="s">
        <v>1754</v>
      </c>
      <c r="B878" s="4" t="s">
        <v>1755</v>
      </c>
    </row>
    <row r="879">
      <c r="A879" s="4" t="s">
        <v>1756</v>
      </c>
      <c r="B879" s="4" t="s">
        <v>1757</v>
      </c>
    </row>
    <row r="880">
      <c r="A880" s="4" t="s">
        <v>1758</v>
      </c>
      <c r="B880" s="4" t="s">
        <v>1759</v>
      </c>
    </row>
    <row r="881">
      <c r="A881" s="4" t="s">
        <v>1760</v>
      </c>
      <c r="B881" s="4" t="s">
        <v>1761</v>
      </c>
    </row>
    <row r="882">
      <c r="A882" s="4" t="s">
        <v>1762</v>
      </c>
      <c r="B882" s="4" t="s">
        <v>1763</v>
      </c>
    </row>
    <row r="883">
      <c r="A883" s="4" t="s">
        <v>1764</v>
      </c>
      <c r="B883" s="4" t="s">
        <v>1765</v>
      </c>
    </row>
    <row r="884">
      <c r="A884" s="4" t="s">
        <v>1766</v>
      </c>
      <c r="B884" s="4" t="s">
        <v>1767</v>
      </c>
    </row>
    <row r="885">
      <c r="A885" s="4" t="s">
        <v>1768</v>
      </c>
      <c r="B885" s="4" t="s">
        <v>1769</v>
      </c>
    </row>
    <row r="886">
      <c r="A886" s="4" t="s">
        <v>1770</v>
      </c>
      <c r="B886" s="4" t="s">
        <v>1771</v>
      </c>
    </row>
    <row r="887">
      <c r="A887" s="4" t="s">
        <v>1772</v>
      </c>
      <c r="B887" s="4" t="s">
        <v>1773</v>
      </c>
    </row>
    <row r="888">
      <c r="A888" s="4" t="s">
        <v>1774</v>
      </c>
      <c r="B888" s="4" t="s">
        <v>1775</v>
      </c>
    </row>
    <row r="889">
      <c r="A889" s="4" t="s">
        <v>1776</v>
      </c>
      <c r="B889" s="4" t="s">
        <v>1777</v>
      </c>
    </row>
    <row r="890">
      <c r="A890" s="4" t="s">
        <v>1778</v>
      </c>
      <c r="B890" s="4" t="s">
        <v>1779</v>
      </c>
    </row>
    <row r="891">
      <c r="A891" s="4" t="s">
        <v>1780</v>
      </c>
      <c r="B891" s="4" t="s">
        <v>1781</v>
      </c>
    </row>
    <row r="892">
      <c r="A892" s="4" t="s">
        <v>1782</v>
      </c>
      <c r="B892" s="4" t="s">
        <v>1783</v>
      </c>
    </row>
    <row r="893">
      <c r="A893" s="4" t="s">
        <v>1784</v>
      </c>
      <c r="B893" s="4" t="s">
        <v>1785</v>
      </c>
    </row>
    <row r="894">
      <c r="A894" s="4" t="s">
        <v>1786</v>
      </c>
      <c r="B894" s="4" t="s">
        <v>1787</v>
      </c>
    </row>
    <row r="895">
      <c r="A895" s="4" t="s">
        <v>1788</v>
      </c>
      <c r="B895" s="4" t="s">
        <v>1789</v>
      </c>
    </row>
    <row r="896">
      <c r="A896" s="4" t="s">
        <v>1790</v>
      </c>
      <c r="B896" s="4" t="s">
        <v>1791</v>
      </c>
    </row>
    <row r="897">
      <c r="A897" s="4" t="s">
        <v>1792</v>
      </c>
      <c r="B897" s="4" t="s">
        <v>1793</v>
      </c>
    </row>
    <row r="898">
      <c r="A898" s="4" t="s">
        <v>1794</v>
      </c>
      <c r="B898" s="4" t="s">
        <v>1795</v>
      </c>
    </row>
    <row r="899">
      <c r="A899" s="4" t="s">
        <v>1796</v>
      </c>
      <c r="B899" s="4" t="s">
        <v>1797</v>
      </c>
    </row>
    <row r="900">
      <c r="A900" s="4" t="s">
        <v>1798</v>
      </c>
      <c r="B900" s="4" t="s">
        <v>1799</v>
      </c>
    </row>
    <row r="901">
      <c r="A901" s="4" t="s">
        <v>1800</v>
      </c>
      <c r="B901" s="4" t="s">
        <v>1801</v>
      </c>
    </row>
    <row r="902">
      <c r="A902" s="4" t="s">
        <v>1802</v>
      </c>
      <c r="B902" s="4" t="s">
        <v>1803</v>
      </c>
    </row>
    <row r="903">
      <c r="A903" s="4" t="s">
        <v>1804</v>
      </c>
      <c r="B903" s="4" t="s">
        <v>1805</v>
      </c>
    </row>
    <row r="904">
      <c r="A904" s="4" t="s">
        <v>1806</v>
      </c>
      <c r="B904" s="4" t="s">
        <v>1807</v>
      </c>
    </row>
    <row r="905">
      <c r="A905" s="4" t="s">
        <v>1808</v>
      </c>
      <c r="B905" s="4" t="s">
        <v>1809</v>
      </c>
    </row>
    <row r="906">
      <c r="A906" s="4" t="s">
        <v>1810</v>
      </c>
      <c r="B906" s="4" t="s">
        <v>1811</v>
      </c>
    </row>
    <row r="907">
      <c r="A907" s="4" t="s">
        <v>1812</v>
      </c>
      <c r="B907" s="4" t="s">
        <v>1813</v>
      </c>
    </row>
    <row r="908">
      <c r="A908" s="4" t="s">
        <v>1814</v>
      </c>
      <c r="B908" s="4" t="s">
        <v>1815</v>
      </c>
    </row>
    <row r="909">
      <c r="A909" s="4" t="s">
        <v>1816</v>
      </c>
      <c r="B909" s="4" t="s">
        <v>1817</v>
      </c>
    </row>
    <row r="910">
      <c r="A910" s="4" t="s">
        <v>1818</v>
      </c>
      <c r="B910" s="4" t="s">
        <v>1819</v>
      </c>
    </row>
    <row r="911">
      <c r="A911" s="4" t="s">
        <v>1820</v>
      </c>
      <c r="B911" s="4" t="s">
        <v>1821</v>
      </c>
    </row>
    <row r="912">
      <c r="A912" s="4" t="s">
        <v>1822</v>
      </c>
      <c r="B912" s="4" t="s">
        <v>1823</v>
      </c>
    </row>
    <row r="913">
      <c r="A913" s="4" t="s">
        <v>1824</v>
      </c>
      <c r="B913" s="4" t="s">
        <v>1825</v>
      </c>
    </row>
    <row r="914">
      <c r="A914" s="4" t="s">
        <v>1826</v>
      </c>
      <c r="B914" s="4" t="s">
        <v>1827</v>
      </c>
    </row>
    <row r="915">
      <c r="A915" s="4" t="s">
        <v>1828</v>
      </c>
      <c r="B915" s="4" t="s">
        <v>1829</v>
      </c>
    </row>
    <row r="916">
      <c r="A916" s="4" t="s">
        <v>1830</v>
      </c>
      <c r="B916" s="4" t="s">
        <v>1831</v>
      </c>
    </row>
    <row r="917">
      <c r="A917" s="4" t="s">
        <v>1832</v>
      </c>
      <c r="B917" s="4" t="s">
        <v>1833</v>
      </c>
    </row>
    <row r="918">
      <c r="A918" s="4" t="s">
        <v>1834</v>
      </c>
      <c r="B918" s="4" t="s">
        <v>1835</v>
      </c>
    </row>
    <row r="919">
      <c r="A919" s="4" t="s">
        <v>1836</v>
      </c>
      <c r="B919" s="4" t="s">
        <v>1837</v>
      </c>
    </row>
    <row r="920">
      <c r="A920" s="4" t="s">
        <v>1838</v>
      </c>
      <c r="B920" s="4" t="s">
        <v>1839</v>
      </c>
    </row>
    <row r="921">
      <c r="A921" s="4" t="s">
        <v>1840</v>
      </c>
      <c r="B921" s="4" t="s">
        <v>1841</v>
      </c>
    </row>
    <row r="922">
      <c r="A922" s="4" t="s">
        <v>1842</v>
      </c>
      <c r="B922" s="4" t="s">
        <v>1843</v>
      </c>
    </row>
    <row r="923">
      <c r="A923" s="4" t="s">
        <v>1844</v>
      </c>
      <c r="B923" s="4" t="s">
        <v>1845</v>
      </c>
    </row>
    <row r="924">
      <c r="A924" s="4" t="s">
        <v>1846</v>
      </c>
      <c r="B924" s="4" t="s">
        <v>1847</v>
      </c>
    </row>
    <row r="925">
      <c r="A925" s="4" t="s">
        <v>1848</v>
      </c>
      <c r="B925" s="4" t="s">
        <v>1849</v>
      </c>
    </row>
    <row r="926">
      <c r="A926" s="4" t="s">
        <v>1850</v>
      </c>
      <c r="B926" s="4" t="s">
        <v>1851</v>
      </c>
    </row>
    <row r="927">
      <c r="A927" s="4" t="s">
        <v>1852</v>
      </c>
      <c r="B927" s="4" t="s">
        <v>1853</v>
      </c>
    </row>
    <row r="928">
      <c r="A928" s="4" t="s">
        <v>1854</v>
      </c>
      <c r="B928" s="4" t="s">
        <v>1855</v>
      </c>
    </row>
    <row r="929">
      <c r="A929" s="4" t="s">
        <v>1856</v>
      </c>
      <c r="B929" s="4" t="s">
        <v>1857</v>
      </c>
    </row>
    <row r="930">
      <c r="A930" s="4" t="s">
        <v>1858</v>
      </c>
      <c r="B930" s="4" t="s">
        <v>1859</v>
      </c>
    </row>
    <row r="931">
      <c r="A931" s="4" t="s">
        <v>1860</v>
      </c>
      <c r="B931" s="4" t="s">
        <v>1861</v>
      </c>
    </row>
    <row r="932">
      <c r="A932" s="4" t="s">
        <v>1862</v>
      </c>
      <c r="B932" s="4" t="s">
        <v>1863</v>
      </c>
    </row>
    <row r="933">
      <c r="A933" s="4" t="s">
        <v>1864</v>
      </c>
      <c r="B933" s="4" t="s">
        <v>1865</v>
      </c>
    </row>
    <row r="934">
      <c r="A934" s="4" t="s">
        <v>1866</v>
      </c>
      <c r="B934" s="4" t="s">
        <v>1867</v>
      </c>
    </row>
    <row r="935">
      <c r="A935" s="4" t="s">
        <v>1868</v>
      </c>
      <c r="B935" s="4" t="s">
        <v>1869</v>
      </c>
    </row>
    <row r="936">
      <c r="A936" s="4" t="s">
        <v>1870</v>
      </c>
      <c r="B936" s="4" t="s">
        <v>1871</v>
      </c>
    </row>
    <row r="937">
      <c r="A937" s="4" t="s">
        <v>1872</v>
      </c>
      <c r="B937" s="4" t="s">
        <v>1873</v>
      </c>
    </row>
    <row r="938">
      <c r="A938" s="4" t="s">
        <v>1874</v>
      </c>
      <c r="B938" s="4" t="s">
        <v>1875</v>
      </c>
    </row>
    <row r="939">
      <c r="A939" s="4" t="s">
        <v>1876</v>
      </c>
      <c r="B939" s="4" t="s">
        <v>1877</v>
      </c>
    </row>
    <row r="940">
      <c r="A940" s="4" t="s">
        <v>1878</v>
      </c>
      <c r="B940" s="4" t="s">
        <v>1879</v>
      </c>
    </row>
    <row r="941">
      <c r="A941" s="4" t="s">
        <v>1880</v>
      </c>
      <c r="B941" s="4" t="s">
        <v>1881</v>
      </c>
    </row>
    <row r="942">
      <c r="A942" s="4" t="s">
        <v>1882</v>
      </c>
      <c r="B942" s="4" t="s">
        <v>1883</v>
      </c>
    </row>
    <row r="943">
      <c r="A943" s="4" t="s">
        <v>1884</v>
      </c>
      <c r="B943" s="4" t="s">
        <v>1885</v>
      </c>
    </row>
    <row r="944">
      <c r="A944" s="4" t="s">
        <v>1886</v>
      </c>
      <c r="B944" s="4" t="s">
        <v>1887</v>
      </c>
    </row>
    <row r="945">
      <c r="A945" s="4" t="s">
        <v>1888</v>
      </c>
      <c r="B945" s="4" t="s">
        <v>1889</v>
      </c>
    </row>
    <row r="946">
      <c r="A946" s="4" t="s">
        <v>1890</v>
      </c>
      <c r="B946" s="4" t="s">
        <v>1891</v>
      </c>
    </row>
    <row r="947">
      <c r="A947" s="4" t="s">
        <v>1892</v>
      </c>
      <c r="B947" s="4" t="s">
        <v>1893</v>
      </c>
    </row>
    <row r="948">
      <c r="A948" s="4" t="s">
        <v>1894</v>
      </c>
      <c r="B948" s="4" t="s">
        <v>1895</v>
      </c>
    </row>
    <row r="949">
      <c r="A949" s="4" t="s">
        <v>1896</v>
      </c>
      <c r="B949" s="4" t="s">
        <v>1897</v>
      </c>
    </row>
    <row r="950">
      <c r="A950" s="4" t="s">
        <v>1898</v>
      </c>
      <c r="B950" s="4" t="s">
        <v>1899</v>
      </c>
    </row>
    <row r="951">
      <c r="A951" s="4" t="s">
        <v>1900</v>
      </c>
      <c r="B951" s="4" t="s">
        <v>1901</v>
      </c>
    </row>
    <row r="952">
      <c r="A952" s="4" t="s">
        <v>1902</v>
      </c>
      <c r="B952" s="4" t="s">
        <v>1903</v>
      </c>
    </row>
    <row r="953">
      <c r="A953" s="4" t="s">
        <v>1904</v>
      </c>
      <c r="B953" s="4" t="s">
        <v>1905</v>
      </c>
    </row>
    <row r="954">
      <c r="A954" s="4" t="s">
        <v>1906</v>
      </c>
      <c r="B954" s="4" t="s">
        <v>1907</v>
      </c>
    </row>
    <row r="955">
      <c r="A955" s="4" t="s">
        <v>1908</v>
      </c>
      <c r="B955" s="4" t="s">
        <v>1909</v>
      </c>
    </row>
    <row r="956">
      <c r="A956" s="4" t="s">
        <v>1910</v>
      </c>
      <c r="B956" s="4" t="s">
        <v>1911</v>
      </c>
    </row>
    <row r="957">
      <c r="A957" s="4" t="s">
        <v>1912</v>
      </c>
      <c r="B957" s="4" t="s">
        <v>1913</v>
      </c>
    </row>
    <row r="958">
      <c r="A958" s="4" t="s">
        <v>1914</v>
      </c>
      <c r="B958" s="4" t="s">
        <v>1915</v>
      </c>
    </row>
    <row r="959">
      <c r="A959" s="4" t="s">
        <v>1916</v>
      </c>
      <c r="B959" s="4" t="s">
        <v>1917</v>
      </c>
    </row>
    <row r="960">
      <c r="A960" s="4" t="s">
        <v>1918</v>
      </c>
      <c r="B960" s="4" t="s">
        <v>1919</v>
      </c>
    </row>
    <row r="961">
      <c r="A961" s="4" t="s">
        <v>1920</v>
      </c>
      <c r="B961" s="4" t="s">
        <v>1921</v>
      </c>
    </row>
    <row r="962">
      <c r="A962" s="4" t="s">
        <v>1922</v>
      </c>
      <c r="B962" s="4" t="s">
        <v>1923</v>
      </c>
    </row>
    <row r="963">
      <c r="A963" s="4" t="s">
        <v>1924</v>
      </c>
      <c r="B963" s="4" t="s">
        <v>1925</v>
      </c>
    </row>
    <row r="964">
      <c r="A964" s="4" t="s">
        <v>1926</v>
      </c>
      <c r="B964" s="4" t="s">
        <v>1927</v>
      </c>
    </row>
    <row r="965">
      <c r="A965" s="4" t="s">
        <v>1928</v>
      </c>
      <c r="B965" s="4" t="s">
        <v>1929</v>
      </c>
    </row>
    <row r="966">
      <c r="A966" s="4" t="s">
        <v>1930</v>
      </c>
      <c r="B966" s="4" t="s">
        <v>1931</v>
      </c>
    </row>
    <row r="967">
      <c r="A967" s="4" t="s">
        <v>1932</v>
      </c>
      <c r="B967" s="4" t="s">
        <v>1933</v>
      </c>
    </row>
    <row r="968">
      <c r="A968" s="4" t="s">
        <v>1934</v>
      </c>
      <c r="B968" s="4" t="s">
        <v>1935</v>
      </c>
    </row>
    <row r="969">
      <c r="A969" s="4" t="s">
        <v>1936</v>
      </c>
      <c r="B969" s="4" t="s">
        <v>1937</v>
      </c>
    </row>
    <row r="970">
      <c r="A970" s="4" t="s">
        <v>1938</v>
      </c>
      <c r="B970" s="4" t="s">
        <v>1939</v>
      </c>
    </row>
    <row r="971">
      <c r="A971" s="4" t="s">
        <v>1940</v>
      </c>
      <c r="B971" s="4" t="s">
        <v>1941</v>
      </c>
    </row>
    <row r="972">
      <c r="A972" s="4" t="s">
        <v>1942</v>
      </c>
      <c r="B972" s="4" t="s">
        <v>1943</v>
      </c>
    </row>
    <row r="973">
      <c r="A973" s="4" t="s">
        <v>1944</v>
      </c>
      <c r="B973" s="4" t="s">
        <v>1945</v>
      </c>
    </row>
    <row r="974">
      <c r="A974" s="4" t="s">
        <v>1946</v>
      </c>
      <c r="B974" s="4" t="s">
        <v>1947</v>
      </c>
    </row>
    <row r="975">
      <c r="A975" s="4" t="s">
        <v>1948</v>
      </c>
      <c r="B975" s="4" t="s">
        <v>1949</v>
      </c>
    </row>
    <row r="976">
      <c r="A976" s="4" t="s">
        <v>1950</v>
      </c>
      <c r="B976" s="4" t="s">
        <v>1951</v>
      </c>
    </row>
    <row r="977">
      <c r="A977" s="4" t="s">
        <v>1952</v>
      </c>
      <c r="B977" s="4" t="s">
        <v>1953</v>
      </c>
    </row>
    <row r="978">
      <c r="A978" s="4" t="s">
        <v>1954</v>
      </c>
      <c r="B978" s="4" t="s">
        <v>1955</v>
      </c>
    </row>
    <row r="979">
      <c r="A979" s="4" t="s">
        <v>1956</v>
      </c>
      <c r="B979" s="4" t="s">
        <v>1957</v>
      </c>
    </row>
    <row r="980">
      <c r="A980" s="4" t="s">
        <v>1958</v>
      </c>
      <c r="B980" s="4" t="s">
        <v>1959</v>
      </c>
    </row>
    <row r="981">
      <c r="A981" s="4" t="s">
        <v>1960</v>
      </c>
      <c r="B981" s="4" t="s">
        <v>1961</v>
      </c>
    </row>
    <row r="982">
      <c r="A982" s="4" t="s">
        <v>1962</v>
      </c>
      <c r="B982" s="4" t="s">
        <v>1963</v>
      </c>
    </row>
    <row r="983">
      <c r="A983" s="4" t="s">
        <v>1964</v>
      </c>
      <c r="B983" s="4" t="s">
        <v>1965</v>
      </c>
    </row>
    <row r="984">
      <c r="A984" s="4" t="s">
        <v>1966</v>
      </c>
      <c r="B984" s="4" t="s">
        <v>1967</v>
      </c>
    </row>
    <row r="985">
      <c r="A985" s="4" t="s">
        <v>1968</v>
      </c>
      <c r="B985" s="4" t="s">
        <v>1969</v>
      </c>
    </row>
    <row r="986">
      <c r="A986" s="4" t="s">
        <v>1970</v>
      </c>
      <c r="B986" s="4" t="s">
        <v>1971</v>
      </c>
    </row>
    <row r="987">
      <c r="A987" s="4" t="s">
        <v>1972</v>
      </c>
      <c r="B987" s="4" t="s">
        <v>1973</v>
      </c>
    </row>
    <row r="988">
      <c r="A988" s="4" t="s">
        <v>1974</v>
      </c>
      <c r="B988" s="4" t="s">
        <v>1975</v>
      </c>
    </row>
    <row r="989">
      <c r="A989" s="4" t="s">
        <v>1976</v>
      </c>
      <c r="B989" s="4" t="s">
        <v>1977</v>
      </c>
    </row>
    <row r="990">
      <c r="A990" s="4" t="s">
        <v>1978</v>
      </c>
      <c r="B990" s="4" t="s">
        <v>1979</v>
      </c>
    </row>
    <row r="991">
      <c r="A991" s="4" t="s">
        <v>1980</v>
      </c>
      <c r="B991" s="4" t="s">
        <v>1981</v>
      </c>
    </row>
    <row r="992">
      <c r="A992" s="4" t="s">
        <v>1982</v>
      </c>
      <c r="B992" s="4" t="s">
        <v>1983</v>
      </c>
    </row>
    <row r="993">
      <c r="A993" s="4" t="s">
        <v>1984</v>
      </c>
      <c r="B993" s="4" t="s">
        <v>1985</v>
      </c>
    </row>
    <row r="994">
      <c r="A994" s="4" t="s">
        <v>1986</v>
      </c>
      <c r="B994" s="4" t="s">
        <v>1987</v>
      </c>
    </row>
    <row r="995">
      <c r="A995" s="4" t="s">
        <v>1988</v>
      </c>
      <c r="B995" s="4" t="s">
        <v>1989</v>
      </c>
    </row>
    <row r="996">
      <c r="A996" s="4" t="s">
        <v>1990</v>
      </c>
      <c r="B996" s="4" t="s">
        <v>1991</v>
      </c>
    </row>
    <row r="997">
      <c r="A997" s="4" t="s">
        <v>1992</v>
      </c>
      <c r="B997" s="4" t="s">
        <v>1993</v>
      </c>
    </row>
    <row r="998">
      <c r="A998" s="4" t="s">
        <v>1994</v>
      </c>
      <c r="B998" s="4" t="s">
        <v>1995</v>
      </c>
    </row>
    <row r="999">
      <c r="A999" s="4" t="s">
        <v>1996</v>
      </c>
      <c r="B999" s="4" t="s">
        <v>1997</v>
      </c>
    </row>
    <row r="1000">
      <c r="A1000" s="4" t="s">
        <v>1998</v>
      </c>
      <c r="B1000" s="4" t="s">
        <v>1999</v>
      </c>
    </row>
    <row r="1001">
      <c r="A1001" s="4" t="s">
        <v>2000</v>
      </c>
      <c r="B1001" s="4" t="s">
        <v>2001</v>
      </c>
    </row>
    <row r="1002">
      <c r="A1002" s="4" t="s">
        <v>2002</v>
      </c>
      <c r="B1002" s="4" t="s">
        <v>2003</v>
      </c>
    </row>
    <row r="1003">
      <c r="A1003" s="4" t="s">
        <v>2004</v>
      </c>
      <c r="B1003" s="4" t="s">
        <v>2005</v>
      </c>
    </row>
    <row r="1004">
      <c r="A1004" s="4" t="s">
        <v>2006</v>
      </c>
      <c r="B1004" s="4" t="s">
        <v>2007</v>
      </c>
    </row>
    <row r="1005">
      <c r="A1005" s="4" t="s">
        <v>2008</v>
      </c>
      <c r="B1005" s="4" t="s">
        <v>2009</v>
      </c>
    </row>
    <row r="1006">
      <c r="A1006" s="4" t="s">
        <v>2010</v>
      </c>
      <c r="B1006" s="4" t="s">
        <v>2011</v>
      </c>
    </row>
    <row r="1007">
      <c r="A1007" s="4" t="s">
        <v>2012</v>
      </c>
      <c r="B1007" s="4" t="s">
        <v>2013</v>
      </c>
    </row>
    <row r="1008">
      <c r="A1008" s="4" t="s">
        <v>2014</v>
      </c>
      <c r="B1008" s="4" t="s">
        <v>2015</v>
      </c>
    </row>
    <row r="1009">
      <c r="A1009" s="4" t="s">
        <v>2016</v>
      </c>
      <c r="B1009" s="4" t="s">
        <v>2017</v>
      </c>
    </row>
    <row r="1010">
      <c r="A1010" s="4" t="s">
        <v>2018</v>
      </c>
      <c r="B1010" s="4" t="s">
        <v>2019</v>
      </c>
    </row>
    <row r="1011">
      <c r="A1011" s="4" t="s">
        <v>2020</v>
      </c>
      <c r="B1011" s="4" t="s">
        <v>2021</v>
      </c>
    </row>
    <row r="1012">
      <c r="A1012" s="4" t="s">
        <v>2022</v>
      </c>
      <c r="B1012" s="4" t="s">
        <v>2023</v>
      </c>
    </row>
    <row r="1013">
      <c r="A1013" s="4" t="s">
        <v>2024</v>
      </c>
      <c r="B1013" s="4" t="s">
        <v>2025</v>
      </c>
    </row>
    <row r="1014">
      <c r="A1014" s="4" t="s">
        <v>2026</v>
      </c>
      <c r="B1014" s="4" t="s">
        <v>2027</v>
      </c>
    </row>
    <row r="1015">
      <c r="A1015" s="4" t="s">
        <v>2028</v>
      </c>
      <c r="B1015" s="4" t="s">
        <v>2029</v>
      </c>
    </row>
    <row r="1016">
      <c r="A1016" s="4" t="s">
        <v>2030</v>
      </c>
      <c r="B1016" s="4" t="s">
        <v>2031</v>
      </c>
    </row>
    <row r="1017">
      <c r="A1017" s="4" t="s">
        <v>2032</v>
      </c>
      <c r="B1017" s="4" t="s">
        <v>2033</v>
      </c>
    </row>
    <row r="1018">
      <c r="A1018" s="4" t="s">
        <v>2034</v>
      </c>
      <c r="B1018" s="4" t="s">
        <v>2035</v>
      </c>
    </row>
    <row r="1019">
      <c r="A1019" s="4" t="s">
        <v>2036</v>
      </c>
      <c r="B1019" s="4" t="s">
        <v>2037</v>
      </c>
    </row>
    <row r="1020">
      <c r="A1020" s="4" t="s">
        <v>2038</v>
      </c>
      <c r="B1020" s="4" t="s">
        <v>2039</v>
      </c>
    </row>
    <row r="1021">
      <c r="A1021" s="4" t="s">
        <v>2040</v>
      </c>
      <c r="B1021" s="4" t="s">
        <v>2041</v>
      </c>
    </row>
    <row r="1022">
      <c r="A1022" s="4" t="s">
        <v>2042</v>
      </c>
      <c r="B1022" s="4" t="s">
        <v>2043</v>
      </c>
    </row>
    <row r="1023">
      <c r="A1023" s="4" t="s">
        <v>2044</v>
      </c>
      <c r="B1023" s="4" t="s">
        <v>2045</v>
      </c>
    </row>
    <row r="1024">
      <c r="A1024" s="4" t="s">
        <v>2046</v>
      </c>
      <c r="B1024" s="4" t="s">
        <v>2047</v>
      </c>
    </row>
    <row r="1025">
      <c r="A1025" s="4" t="s">
        <v>2048</v>
      </c>
      <c r="B1025" s="4" t="s">
        <v>2049</v>
      </c>
    </row>
    <row r="1026">
      <c r="A1026" s="4" t="s">
        <v>2050</v>
      </c>
      <c r="B1026" s="4" t="s">
        <v>2051</v>
      </c>
    </row>
    <row r="1027">
      <c r="A1027" s="4" t="s">
        <v>2052</v>
      </c>
      <c r="B1027" s="4" t="s">
        <v>2053</v>
      </c>
    </row>
    <row r="1028">
      <c r="A1028" s="4" t="s">
        <v>2054</v>
      </c>
      <c r="B1028" s="4" t="s">
        <v>2055</v>
      </c>
    </row>
    <row r="1029">
      <c r="A1029" s="4" t="s">
        <v>2056</v>
      </c>
      <c r="B1029" s="4" t="s">
        <v>2057</v>
      </c>
    </row>
    <row r="1030">
      <c r="A1030" s="4" t="s">
        <v>2058</v>
      </c>
      <c r="B1030" s="4" t="s">
        <v>2059</v>
      </c>
    </row>
    <row r="1031">
      <c r="A1031" s="4" t="s">
        <v>2060</v>
      </c>
      <c r="B1031" s="4" t="s">
        <v>2061</v>
      </c>
    </row>
    <row r="1032">
      <c r="A1032" s="4" t="s">
        <v>2062</v>
      </c>
      <c r="B1032" s="4" t="s">
        <v>2063</v>
      </c>
    </row>
    <row r="1033">
      <c r="A1033" s="4" t="s">
        <v>2064</v>
      </c>
      <c r="B1033" s="4" t="s">
        <v>2065</v>
      </c>
    </row>
    <row r="1034">
      <c r="A1034" s="4" t="s">
        <v>2066</v>
      </c>
      <c r="B1034" s="4" t="s">
        <v>2067</v>
      </c>
    </row>
    <row r="1035">
      <c r="A1035" s="4" t="s">
        <v>2068</v>
      </c>
      <c r="B1035" s="4" t="s">
        <v>2069</v>
      </c>
    </row>
    <row r="1036">
      <c r="A1036" s="4" t="s">
        <v>2070</v>
      </c>
      <c r="B1036" s="4" t="s">
        <v>2071</v>
      </c>
    </row>
    <row r="1037">
      <c r="A1037" s="4" t="s">
        <v>2072</v>
      </c>
      <c r="B1037" s="4" t="s">
        <v>2073</v>
      </c>
    </row>
    <row r="1038">
      <c r="A1038" s="4" t="s">
        <v>2074</v>
      </c>
      <c r="B1038" s="4" t="s">
        <v>2075</v>
      </c>
    </row>
    <row r="1039">
      <c r="A1039" s="4" t="s">
        <v>2076</v>
      </c>
      <c r="B1039" s="4" t="s">
        <v>2077</v>
      </c>
    </row>
    <row r="1040">
      <c r="A1040" s="4" t="s">
        <v>2078</v>
      </c>
      <c r="B1040" s="4" t="s">
        <v>2079</v>
      </c>
    </row>
    <row r="1041">
      <c r="A1041" s="4" t="s">
        <v>2080</v>
      </c>
      <c r="B1041" s="4" t="s">
        <v>2081</v>
      </c>
    </row>
    <row r="1042">
      <c r="A1042" s="4" t="s">
        <v>2082</v>
      </c>
      <c r="B1042" s="4" t="s">
        <v>2083</v>
      </c>
    </row>
    <row r="1043">
      <c r="A1043" s="4" t="s">
        <v>2084</v>
      </c>
      <c r="B1043" s="4" t="s">
        <v>2085</v>
      </c>
    </row>
    <row r="1044">
      <c r="A1044" s="4" t="s">
        <v>2086</v>
      </c>
      <c r="B1044" s="4" t="s">
        <v>2087</v>
      </c>
    </row>
    <row r="1045">
      <c r="A1045" s="4" t="s">
        <v>2088</v>
      </c>
      <c r="B1045" s="4" t="s">
        <v>2089</v>
      </c>
    </row>
    <row r="1046">
      <c r="A1046" s="4" t="s">
        <v>2090</v>
      </c>
      <c r="B1046" s="4" t="s">
        <v>2091</v>
      </c>
    </row>
    <row r="1047">
      <c r="A1047" s="4" t="s">
        <v>2092</v>
      </c>
      <c r="B1047" s="4" t="s">
        <v>2093</v>
      </c>
    </row>
    <row r="1048">
      <c r="A1048" s="4" t="s">
        <v>2094</v>
      </c>
      <c r="B1048" s="4" t="s">
        <v>2095</v>
      </c>
    </row>
    <row r="1049">
      <c r="A1049" s="4" t="s">
        <v>2096</v>
      </c>
      <c r="B1049" s="4" t="s">
        <v>2097</v>
      </c>
    </row>
    <row r="1050">
      <c r="A1050" s="4" t="s">
        <v>2098</v>
      </c>
      <c r="B1050" s="4" t="s">
        <v>2099</v>
      </c>
    </row>
    <row r="1051">
      <c r="A1051" s="4" t="s">
        <v>2100</v>
      </c>
      <c r="B1051" s="4" t="s">
        <v>2101</v>
      </c>
    </row>
    <row r="1052">
      <c r="A1052" s="4" t="s">
        <v>2102</v>
      </c>
      <c r="B1052" s="4" t="s">
        <v>2103</v>
      </c>
    </row>
    <row r="1053">
      <c r="A1053" s="4" t="s">
        <v>2104</v>
      </c>
      <c r="B1053" s="4" t="s">
        <v>2105</v>
      </c>
    </row>
    <row r="1054">
      <c r="A1054" s="4" t="s">
        <v>2106</v>
      </c>
      <c r="B1054" s="4" t="s">
        <v>2107</v>
      </c>
    </row>
    <row r="1055">
      <c r="A1055" s="4" t="s">
        <v>2108</v>
      </c>
      <c r="B1055" s="4" t="s">
        <v>2109</v>
      </c>
    </row>
    <row r="1056">
      <c r="A1056" s="4" t="s">
        <v>2110</v>
      </c>
      <c r="B1056" s="4" t="s">
        <v>2111</v>
      </c>
    </row>
    <row r="1057">
      <c r="A1057" s="4" t="s">
        <v>2112</v>
      </c>
      <c r="B1057" s="4" t="s">
        <v>2113</v>
      </c>
    </row>
    <row r="1058">
      <c r="A1058" s="4" t="s">
        <v>2114</v>
      </c>
      <c r="B1058" s="4" t="s">
        <v>2115</v>
      </c>
    </row>
    <row r="1059">
      <c r="A1059" s="4" t="s">
        <v>2116</v>
      </c>
      <c r="B1059" s="4" t="s">
        <v>2117</v>
      </c>
    </row>
    <row r="1060">
      <c r="A1060" s="4" t="s">
        <v>2118</v>
      </c>
      <c r="B1060" s="4" t="s">
        <v>2119</v>
      </c>
    </row>
    <row r="1061">
      <c r="A1061" s="4" t="s">
        <v>2120</v>
      </c>
      <c r="B1061" s="4" t="s">
        <v>2121</v>
      </c>
    </row>
    <row r="1062">
      <c r="A1062" s="4" t="s">
        <v>2122</v>
      </c>
      <c r="B1062" s="4" t="s">
        <v>2123</v>
      </c>
    </row>
    <row r="1063">
      <c r="A1063" s="4" t="s">
        <v>2124</v>
      </c>
      <c r="B1063" s="4" t="s">
        <v>2125</v>
      </c>
    </row>
    <row r="1064">
      <c r="A1064" s="4" t="s">
        <v>2126</v>
      </c>
      <c r="B1064" s="4" t="s">
        <v>2127</v>
      </c>
    </row>
    <row r="1065">
      <c r="A1065" s="4" t="s">
        <v>2128</v>
      </c>
      <c r="B1065" s="4" t="s">
        <v>2129</v>
      </c>
    </row>
    <row r="1066">
      <c r="A1066" s="4" t="s">
        <v>2130</v>
      </c>
      <c r="B1066" s="4" t="s">
        <v>2131</v>
      </c>
    </row>
    <row r="1067">
      <c r="A1067" s="4" t="s">
        <v>2132</v>
      </c>
      <c r="B1067" s="4" t="s">
        <v>2133</v>
      </c>
    </row>
    <row r="1068">
      <c r="A1068" s="4" t="s">
        <v>2134</v>
      </c>
      <c r="B1068" s="4" t="s">
        <v>2135</v>
      </c>
    </row>
    <row r="1069">
      <c r="A1069" s="4" t="s">
        <v>2136</v>
      </c>
      <c r="B1069" s="4" t="s">
        <v>2137</v>
      </c>
    </row>
    <row r="1070">
      <c r="A1070" s="4" t="s">
        <v>2138</v>
      </c>
      <c r="B1070" s="4" t="s">
        <v>2139</v>
      </c>
    </row>
    <row r="1071">
      <c r="A1071" s="4" t="s">
        <v>2140</v>
      </c>
      <c r="B1071" s="4" t="s">
        <v>2141</v>
      </c>
    </row>
    <row r="1072">
      <c r="A1072" s="4" t="s">
        <v>2142</v>
      </c>
      <c r="B1072" s="4" t="s">
        <v>2143</v>
      </c>
    </row>
    <row r="1073">
      <c r="A1073" s="4" t="s">
        <v>2144</v>
      </c>
      <c r="B1073" s="4" t="s">
        <v>2145</v>
      </c>
    </row>
    <row r="1074">
      <c r="A1074" s="4" t="s">
        <v>2146</v>
      </c>
      <c r="B1074" s="4" t="s">
        <v>2147</v>
      </c>
    </row>
    <row r="1075">
      <c r="A1075" s="4" t="s">
        <v>2148</v>
      </c>
      <c r="B1075" s="4" t="s">
        <v>2149</v>
      </c>
    </row>
    <row r="1076">
      <c r="A1076" s="4" t="s">
        <v>2150</v>
      </c>
      <c r="B1076" s="4" t="s">
        <v>2151</v>
      </c>
    </row>
    <row r="1077">
      <c r="A1077" s="4" t="s">
        <v>2152</v>
      </c>
      <c r="B1077" s="4" t="s">
        <v>2153</v>
      </c>
    </row>
    <row r="1078">
      <c r="A1078" s="4" t="s">
        <v>2154</v>
      </c>
      <c r="B1078" s="4" t="s">
        <v>2155</v>
      </c>
    </row>
    <row r="1079">
      <c r="A1079" s="4" t="s">
        <v>2156</v>
      </c>
      <c r="B1079" s="4" t="s">
        <v>2157</v>
      </c>
    </row>
    <row r="1080">
      <c r="A1080" s="4" t="s">
        <v>2158</v>
      </c>
      <c r="B1080" s="4" t="s">
        <v>2159</v>
      </c>
    </row>
    <row r="1081">
      <c r="A1081" s="4" t="s">
        <v>2160</v>
      </c>
      <c r="B1081" s="4" t="s">
        <v>2161</v>
      </c>
    </row>
    <row r="1082">
      <c r="A1082" s="4" t="s">
        <v>2162</v>
      </c>
      <c r="B1082" s="4" t="s">
        <v>2163</v>
      </c>
    </row>
    <row r="1083">
      <c r="A1083" s="4" t="s">
        <v>2164</v>
      </c>
      <c r="B1083" s="4" t="s">
        <v>2165</v>
      </c>
    </row>
    <row r="1084">
      <c r="A1084" s="4" t="s">
        <v>2166</v>
      </c>
      <c r="B1084" s="4" t="s">
        <v>2167</v>
      </c>
    </row>
    <row r="1085">
      <c r="A1085" s="4" t="s">
        <v>2168</v>
      </c>
      <c r="B1085" s="4" t="s">
        <v>2169</v>
      </c>
    </row>
    <row r="1086">
      <c r="A1086" s="4" t="s">
        <v>2170</v>
      </c>
      <c r="B1086" s="4" t="s">
        <v>2171</v>
      </c>
    </row>
    <row r="1087">
      <c r="A1087" s="4" t="s">
        <v>2172</v>
      </c>
      <c r="B1087" s="4" t="s">
        <v>2173</v>
      </c>
    </row>
    <row r="1088">
      <c r="A1088" s="4" t="s">
        <v>2174</v>
      </c>
      <c r="B1088" s="4" t="s">
        <v>2175</v>
      </c>
    </row>
    <row r="1089">
      <c r="A1089" s="4" t="s">
        <v>2176</v>
      </c>
      <c r="B1089" s="4" t="s">
        <v>2177</v>
      </c>
    </row>
    <row r="1090">
      <c r="A1090" s="4" t="s">
        <v>2178</v>
      </c>
      <c r="B1090" s="4" t="s">
        <v>2179</v>
      </c>
    </row>
    <row r="1091">
      <c r="A1091" s="4" t="s">
        <v>2180</v>
      </c>
      <c r="B1091" s="4" t="s">
        <v>2181</v>
      </c>
    </row>
    <row r="1092">
      <c r="A1092" s="4" t="s">
        <v>2182</v>
      </c>
      <c r="B1092" s="4" t="s">
        <v>2183</v>
      </c>
    </row>
    <row r="1093">
      <c r="A1093" s="4" t="s">
        <v>2184</v>
      </c>
      <c r="B1093" s="4" t="s">
        <v>2185</v>
      </c>
    </row>
    <row r="1094">
      <c r="A1094" s="4" t="s">
        <v>2186</v>
      </c>
      <c r="B1094" s="4" t="s">
        <v>2187</v>
      </c>
    </row>
    <row r="1095">
      <c r="A1095" s="4" t="s">
        <v>2188</v>
      </c>
      <c r="B1095" s="4" t="s">
        <v>2189</v>
      </c>
    </row>
    <row r="1096">
      <c r="A1096" s="4" t="s">
        <v>2190</v>
      </c>
      <c r="B1096" s="4" t="s">
        <v>2191</v>
      </c>
    </row>
    <row r="1097">
      <c r="A1097" s="4" t="s">
        <v>2192</v>
      </c>
      <c r="B1097" s="4" t="s">
        <v>2193</v>
      </c>
    </row>
    <row r="1098">
      <c r="A1098" s="4" t="s">
        <v>2194</v>
      </c>
      <c r="B1098" s="4" t="s">
        <v>2195</v>
      </c>
    </row>
    <row r="1099">
      <c r="A1099" s="4" t="s">
        <v>2196</v>
      </c>
      <c r="B1099" s="4" t="s">
        <v>2197</v>
      </c>
    </row>
    <row r="1100">
      <c r="A1100" s="4" t="s">
        <v>2198</v>
      </c>
      <c r="B1100" s="4" t="s">
        <v>2199</v>
      </c>
    </row>
    <row r="1101">
      <c r="A1101" s="4" t="s">
        <v>2200</v>
      </c>
      <c r="B1101" s="4" t="s">
        <v>2201</v>
      </c>
    </row>
    <row r="1102">
      <c r="A1102" s="4" t="s">
        <v>2202</v>
      </c>
      <c r="B1102" s="4" t="s">
        <v>2203</v>
      </c>
    </row>
    <row r="1103">
      <c r="A1103" s="4" t="s">
        <v>2204</v>
      </c>
      <c r="B1103" s="4" t="s">
        <v>2205</v>
      </c>
    </row>
    <row r="1104">
      <c r="A1104" s="4" t="s">
        <v>2206</v>
      </c>
      <c r="B1104" s="4" t="s">
        <v>2207</v>
      </c>
    </row>
    <row r="1105">
      <c r="A1105" s="4" t="s">
        <v>2208</v>
      </c>
      <c r="B1105" s="4" t="s">
        <v>2209</v>
      </c>
    </row>
    <row r="1106">
      <c r="A1106" s="4" t="s">
        <v>2210</v>
      </c>
      <c r="B1106" s="4" t="s">
        <v>2211</v>
      </c>
    </row>
    <row r="1107">
      <c r="A1107" s="4" t="s">
        <v>2212</v>
      </c>
      <c r="B1107" s="4" t="s">
        <v>2213</v>
      </c>
    </row>
    <row r="1108">
      <c r="A1108" s="4" t="s">
        <v>2214</v>
      </c>
      <c r="B1108" s="4" t="s">
        <v>2215</v>
      </c>
    </row>
    <row r="1109">
      <c r="A1109" s="4" t="s">
        <v>2216</v>
      </c>
      <c r="B1109" s="4" t="s">
        <v>2217</v>
      </c>
    </row>
    <row r="1110">
      <c r="A1110" s="4" t="s">
        <v>2218</v>
      </c>
      <c r="B1110" s="4" t="s">
        <v>2219</v>
      </c>
    </row>
    <row r="1111">
      <c r="A1111" s="4" t="s">
        <v>2220</v>
      </c>
      <c r="B1111" s="4" t="s">
        <v>2221</v>
      </c>
    </row>
    <row r="1112">
      <c r="A1112" s="4" t="s">
        <v>2222</v>
      </c>
      <c r="B1112" s="4" t="s">
        <v>2223</v>
      </c>
    </row>
    <row r="1113">
      <c r="A1113" s="4" t="s">
        <v>2224</v>
      </c>
      <c r="B1113" s="4" t="s">
        <v>2225</v>
      </c>
    </row>
    <row r="1114">
      <c r="A1114" s="4" t="s">
        <v>2226</v>
      </c>
      <c r="B1114" s="4" t="s">
        <v>2227</v>
      </c>
    </row>
    <row r="1115">
      <c r="A1115" s="4" t="s">
        <v>2228</v>
      </c>
      <c r="B1115" s="4" t="s">
        <v>2229</v>
      </c>
    </row>
    <row r="1116">
      <c r="A1116" s="4" t="s">
        <v>2230</v>
      </c>
      <c r="B1116" s="4" t="s">
        <v>2231</v>
      </c>
    </row>
    <row r="1117">
      <c r="A1117" s="4" t="s">
        <v>2232</v>
      </c>
      <c r="B1117" s="4" t="s">
        <v>2233</v>
      </c>
    </row>
    <row r="1118">
      <c r="A1118" s="4" t="s">
        <v>2234</v>
      </c>
      <c r="B1118" s="4" t="s">
        <v>2235</v>
      </c>
    </row>
    <row r="1119">
      <c r="A1119" s="4" t="s">
        <v>2236</v>
      </c>
      <c r="B1119" s="4" t="s">
        <v>2237</v>
      </c>
    </row>
    <row r="1120">
      <c r="A1120" s="4" t="s">
        <v>2238</v>
      </c>
      <c r="B1120" s="4" t="s">
        <v>2239</v>
      </c>
    </row>
    <row r="1121">
      <c r="A1121" s="4" t="s">
        <v>2240</v>
      </c>
      <c r="B1121" s="4" t="s">
        <v>2241</v>
      </c>
    </row>
    <row r="1122">
      <c r="A1122" s="4" t="s">
        <v>2242</v>
      </c>
      <c r="B1122" s="4" t="s">
        <v>2243</v>
      </c>
    </row>
    <row r="1123">
      <c r="A1123" s="4" t="s">
        <v>2244</v>
      </c>
      <c r="B1123" s="4" t="s">
        <v>2245</v>
      </c>
    </row>
    <row r="1124">
      <c r="A1124" s="4" t="s">
        <v>2246</v>
      </c>
      <c r="B1124" s="4" t="s">
        <v>2247</v>
      </c>
    </row>
    <row r="1125">
      <c r="A1125" s="4" t="s">
        <v>2248</v>
      </c>
      <c r="B1125" s="4" t="s">
        <v>2249</v>
      </c>
    </row>
    <row r="1126">
      <c r="A1126" s="4" t="s">
        <v>2250</v>
      </c>
      <c r="B1126" s="4" t="s">
        <v>2251</v>
      </c>
    </row>
    <row r="1127">
      <c r="A1127" s="4" t="s">
        <v>2252</v>
      </c>
      <c r="B1127" s="4" t="s">
        <v>2253</v>
      </c>
    </row>
    <row r="1128">
      <c r="A1128" s="4" t="s">
        <v>2254</v>
      </c>
      <c r="B1128" s="4" t="s">
        <v>2255</v>
      </c>
    </row>
    <row r="1129">
      <c r="A1129" s="4" t="s">
        <v>2256</v>
      </c>
      <c r="B1129" s="4" t="s">
        <v>2257</v>
      </c>
    </row>
    <row r="1130">
      <c r="A1130" s="4" t="s">
        <v>2258</v>
      </c>
      <c r="B1130" s="4" t="s">
        <v>2259</v>
      </c>
    </row>
    <row r="1131">
      <c r="A1131" s="4" t="s">
        <v>2260</v>
      </c>
      <c r="B1131" s="4" t="s">
        <v>2261</v>
      </c>
    </row>
    <row r="1132">
      <c r="A1132" s="4" t="s">
        <v>2262</v>
      </c>
      <c r="B1132" s="4" t="s">
        <v>2263</v>
      </c>
    </row>
    <row r="1133">
      <c r="A1133" s="4" t="s">
        <v>2264</v>
      </c>
      <c r="B1133" s="4" t="s">
        <v>2265</v>
      </c>
    </row>
    <row r="1134">
      <c r="A1134" s="4" t="s">
        <v>2266</v>
      </c>
      <c r="B1134" s="4" t="s">
        <v>2267</v>
      </c>
    </row>
    <row r="1135">
      <c r="A1135" s="4" t="s">
        <v>2268</v>
      </c>
      <c r="B1135" s="4" t="s">
        <v>2269</v>
      </c>
    </row>
    <row r="1136">
      <c r="A1136" s="4" t="s">
        <v>2270</v>
      </c>
      <c r="B1136" s="4" t="s">
        <v>2271</v>
      </c>
    </row>
    <row r="1137">
      <c r="A1137" s="4" t="s">
        <v>2272</v>
      </c>
      <c r="B1137" s="4" t="s">
        <v>2273</v>
      </c>
    </row>
    <row r="1138">
      <c r="A1138" s="4" t="s">
        <v>2274</v>
      </c>
      <c r="B1138" s="4" t="s">
        <v>2275</v>
      </c>
    </row>
    <row r="1139">
      <c r="A1139" s="4" t="s">
        <v>2276</v>
      </c>
      <c r="B1139" s="4" t="s">
        <v>2277</v>
      </c>
    </row>
    <row r="1140">
      <c r="A1140" s="4" t="s">
        <v>2278</v>
      </c>
      <c r="B1140" s="4" t="s">
        <v>2279</v>
      </c>
    </row>
    <row r="1141">
      <c r="A1141" s="4" t="s">
        <v>2280</v>
      </c>
      <c r="B1141" s="4" t="s">
        <v>2281</v>
      </c>
    </row>
    <row r="1142">
      <c r="A1142" s="4" t="s">
        <v>2282</v>
      </c>
      <c r="B1142" s="4" t="s">
        <v>2283</v>
      </c>
    </row>
    <row r="1143">
      <c r="A1143" s="4" t="s">
        <v>2284</v>
      </c>
      <c r="B1143" s="4" t="s">
        <v>2285</v>
      </c>
    </row>
    <row r="1144">
      <c r="A1144" s="4" t="s">
        <v>2286</v>
      </c>
      <c r="B1144" s="4" t="s">
        <v>2287</v>
      </c>
    </row>
    <row r="1145">
      <c r="A1145" s="4" t="s">
        <v>2288</v>
      </c>
      <c r="B1145" s="4" t="s">
        <v>2289</v>
      </c>
    </row>
    <row r="1146">
      <c r="A1146" s="4" t="s">
        <v>2290</v>
      </c>
      <c r="B1146" s="4" t="s">
        <v>2291</v>
      </c>
    </row>
    <row r="1147">
      <c r="A1147" s="4" t="s">
        <v>2292</v>
      </c>
      <c r="B1147" s="4" t="s">
        <v>2293</v>
      </c>
    </row>
    <row r="1148">
      <c r="A1148" s="4" t="s">
        <v>2294</v>
      </c>
      <c r="B1148" s="4" t="s">
        <v>2295</v>
      </c>
    </row>
    <row r="1149">
      <c r="A1149" s="4" t="s">
        <v>2296</v>
      </c>
      <c r="B1149" s="4" t="s">
        <v>2297</v>
      </c>
    </row>
    <row r="1150">
      <c r="A1150" s="4" t="s">
        <v>2298</v>
      </c>
      <c r="B1150" s="4" t="s">
        <v>2299</v>
      </c>
    </row>
    <row r="1151">
      <c r="A1151" s="4" t="s">
        <v>2300</v>
      </c>
      <c r="B1151" s="4" t="s">
        <v>2301</v>
      </c>
    </row>
    <row r="1152">
      <c r="A1152" s="4" t="s">
        <v>2302</v>
      </c>
      <c r="B1152" s="4" t="s">
        <v>2303</v>
      </c>
    </row>
    <row r="1153">
      <c r="A1153" s="4" t="s">
        <v>2304</v>
      </c>
      <c r="B1153" s="4" t="s">
        <v>2305</v>
      </c>
    </row>
    <row r="1154">
      <c r="A1154" s="4" t="s">
        <v>2306</v>
      </c>
      <c r="B1154" s="4" t="s">
        <v>2307</v>
      </c>
    </row>
    <row r="1155">
      <c r="A1155" s="4" t="s">
        <v>2308</v>
      </c>
      <c r="B1155" s="4" t="s">
        <v>2309</v>
      </c>
    </row>
    <row r="1156">
      <c r="A1156" s="4" t="s">
        <v>2310</v>
      </c>
      <c r="B1156" s="4" t="s">
        <v>2311</v>
      </c>
    </row>
    <row r="1157">
      <c r="A1157" s="4" t="s">
        <v>2312</v>
      </c>
      <c r="B1157" s="4" t="s">
        <v>2313</v>
      </c>
    </row>
    <row r="1158">
      <c r="A1158" s="4" t="s">
        <v>2314</v>
      </c>
      <c r="B1158" s="4" t="s">
        <v>2315</v>
      </c>
    </row>
    <row r="1159">
      <c r="A1159" s="4" t="s">
        <v>2316</v>
      </c>
      <c r="B1159" s="4" t="s">
        <v>2317</v>
      </c>
    </row>
    <row r="1160">
      <c r="A1160" s="4" t="s">
        <v>2318</v>
      </c>
      <c r="B1160" s="4" t="s">
        <v>2319</v>
      </c>
    </row>
    <row r="1161">
      <c r="A1161" s="4" t="s">
        <v>2320</v>
      </c>
      <c r="B1161" s="4" t="s">
        <v>2321</v>
      </c>
    </row>
    <row r="1162">
      <c r="A1162" s="4" t="s">
        <v>2322</v>
      </c>
      <c r="B1162" s="4" t="s">
        <v>2323</v>
      </c>
    </row>
    <row r="1163">
      <c r="A1163" s="4" t="s">
        <v>2324</v>
      </c>
      <c r="B1163" s="4" t="s">
        <v>2325</v>
      </c>
    </row>
    <row r="1164">
      <c r="A1164" s="4" t="s">
        <v>2326</v>
      </c>
      <c r="B1164" s="4" t="s">
        <v>2327</v>
      </c>
    </row>
    <row r="1165">
      <c r="A1165" s="4" t="s">
        <v>2328</v>
      </c>
      <c r="B1165" s="4" t="s">
        <v>2329</v>
      </c>
    </row>
    <row r="1166">
      <c r="A1166" s="4" t="s">
        <v>2330</v>
      </c>
      <c r="B1166" s="4" t="s">
        <v>2331</v>
      </c>
    </row>
    <row r="1167">
      <c r="A1167" s="4" t="s">
        <v>2332</v>
      </c>
      <c r="B1167" s="4" t="s">
        <v>2333</v>
      </c>
    </row>
    <row r="1168">
      <c r="A1168" s="4" t="s">
        <v>2334</v>
      </c>
      <c r="B1168" s="4" t="s">
        <v>2335</v>
      </c>
    </row>
    <row r="1169">
      <c r="A1169" s="4" t="s">
        <v>2336</v>
      </c>
      <c r="B1169" s="4" t="s">
        <v>2337</v>
      </c>
    </row>
    <row r="1170">
      <c r="A1170" s="4" t="s">
        <v>2338</v>
      </c>
      <c r="B1170" s="4" t="s">
        <v>2339</v>
      </c>
    </row>
    <row r="1171">
      <c r="A1171" s="4" t="s">
        <v>2340</v>
      </c>
      <c r="B1171" s="4" t="s">
        <v>2341</v>
      </c>
    </row>
    <row r="1172">
      <c r="A1172" s="4" t="s">
        <v>2342</v>
      </c>
      <c r="B1172" s="4" t="s">
        <v>2343</v>
      </c>
    </row>
    <row r="1173">
      <c r="A1173" s="4" t="s">
        <v>2344</v>
      </c>
      <c r="B1173" s="4" t="s">
        <v>2345</v>
      </c>
    </row>
    <row r="1174">
      <c r="A1174" s="4" t="s">
        <v>2346</v>
      </c>
      <c r="B1174" s="4" t="s">
        <v>2347</v>
      </c>
    </row>
    <row r="1175">
      <c r="A1175" s="4" t="s">
        <v>2348</v>
      </c>
      <c r="B1175" s="4" t="s">
        <v>2349</v>
      </c>
    </row>
    <row r="1176">
      <c r="A1176" s="4" t="s">
        <v>2350</v>
      </c>
      <c r="B1176" s="4" t="s">
        <v>2351</v>
      </c>
    </row>
    <row r="1177">
      <c r="A1177" s="4" t="s">
        <v>2352</v>
      </c>
      <c r="B1177" s="4" t="s">
        <v>2353</v>
      </c>
    </row>
    <row r="1178">
      <c r="A1178" s="4" t="s">
        <v>2354</v>
      </c>
      <c r="B1178" s="4" t="s">
        <v>2355</v>
      </c>
    </row>
    <row r="1179">
      <c r="A1179" s="4" t="s">
        <v>2356</v>
      </c>
      <c r="B1179" s="4" t="s">
        <v>2357</v>
      </c>
    </row>
    <row r="1180">
      <c r="A1180" s="4" t="s">
        <v>2358</v>
      </c>
      <c r="B1180" s="4" t="s">
        <v>2359</v>
      </c>
    </row>
    <row r="1181">
      <c r="A1181" s="4" t="s">
        <v>2360</v>
      </c>
      <c r="B1181" s="4" t="s">
        <v>2361</v>
      </c>
    </row>
    <row r="1182">
      <c r="A1182" s="4" t="s">
        <v>2362</v>
      </c>
      <c r="B1182" s="4" t="s">
        <v>2363</v>
      </c>
    </row>
    <row r="1183">
      <c r="A1183" s="4" t="s">
        <v>2364</v>
      </c>
      <c r="B1183" s="4" t="s">
        <v>2365</v>
      </c>
    </row>
    <row r="1184">
      <c r="A1184" s="4" t="s">
        <v>2366</v>
      </c>
      <c r="B1184" s="4" t="s">
        <v>2367</v>
      </c>
    </row>
    <row r="1185">
      <c r="A1185" s="4" t="s">
        <v>2368</v>
      </c>
      <c r="B1185" s="4" t="s">
        <v>2369</v>
      </c>
    </row>
    <row r="1186">
      <c r="A1186" s="4" t="s">
        <v>2370</v>
      </c>
      <c r="B1186" s="4" t="s">
        <v>2371</v>
      </c>
    </row>
    <row r="1187">
      <c r="A1187" s="4" t="s">
        <v>2372</v>
      </c>
      <c r="B1187" s="4" t="s">
        <v>2373</v>
      </c>
    </row>
    <row r="1188">
      <c r="A1188" s="4" t="s">
        <v>2374</v>
      </c>
      <c r="B1188" s="4" t="s">
        <v>2375</v>
      </c>
    </row>
    <row r="1189">
      <c r="A1189" s="4" t="s">
        <v>2376</v>
      </c>
      <c r="B1189" s="4" t="s">
        <v>2377</v>
      </c>
    </row>
    <row r="1190">
      <c r="A1190" s="4" t="s">
        <v>2378</v>
      </c>
      <c r="B1190" s="4" t="s">
        <v>2379</v>
      </c>
    </row>
    <row r="1191">
      <c r="A1191" s="4" t="s">
        <v>2380</v>
      </c>
      <c r="B1191" s="4" t="s">
        <v>2381</v>
      </c>
    </row>
    <row r="1192">
      <c r="A1192" s="4" t="s">
        <v>2382</v>
      </c>
      <c r="B1192" s="4" t="s">
        <v>2383</v>
      </c>
    </row>
    <row r="1193">
      <c r="A1193" s="4" t="s">
        <v>2384</v>
      </c>
      <c r="B1193" s="4" t="s">
        <v>2385</v>
      </c>
    </row>
    <row r="1194">
      <c r="A1194" s="4" t="s">
        <v>2386</v>
      </c>
      <c r="B1194" s="4" t="s">
        <v>2387</v>
      </c>
    </row>
    <row r="1195">
      <c r="A1195" s="4" t="s">
        <v>2388</v>
      </c>
      <c r="B1195" s="4" t="s">
        <v>2389</v>
      </c>
    </row>
    <row r="1196">
      <c r="A1196" s="4" t="s">
        <v>2390</v>
      </c>
      <c r="B1196" s="4" t="s">
        <v>2391</v>
      </c>
    </row>
    <row r="1197">
      <c r="A1197" s="4" t="s">
        <v>2392</v>
      </c>
      <c r="B1197" s="4" t="s">
        <v>2393</v>
      </c>
    </row>
    <row r="1198">
      <c r="A1198" s="4" t="s">
        <v>2394</v>
      </c>
      <c r="B1198" s="4" t="s">
        <v>2395</v>
      </c>
    </row>
    <row r="1199">
      <c r="A1199" s="4" t="s">
        <v>2396</v>
      </c>
      <c r="B1199" s="4" t="s">
        <v>2397</v>
      </c>
    </row>
    <row r="1200">
      <c r="A1200" s="4" t="s">
        <v>2398</v>
      </c>
      <c r="B1200" s="4" t="s">
        <v>2399</v>
      </c>
    </row>
    <row r="1201">
      <c r="A1201" s="4" t="s">
        <v>2400</v>
      </c>
      <c r="B1201" s="4" t="s">
        <v>2401</v>
      </c>
    </row>
    <row r="1202">
      <c r="A1202" s="4" t="s">
        <v>2402</v>
      </c>
      <c r="B1202" s="4" t="s">
        <v>2403</v>
      </c>
    </row>
    <row r="1203">
      <c r="A1203" s="4" t="s">
        <v>2404</v>
      </c>
      <c r="B1203" s="4" t="s">
        <v>2405</v>
      </c>
    </row>
    <row r="1204">
      <c r="A1204" s="4" t="s">
        <v>2406</v>
      </c>
      <c r="B1204" s="4" t="s">
        <v>2407</v>
      </c>
    </row>
    <row r="1205">
      <c r="A1205" s="4" t="s">
        <v>2408</v>
      </c>
      <c r="B1205" s="4" t="s">
        <v>2409</v>
      </c>
    </row>
    <row r="1206">
      <c r="A1206" s="4" t="s">
        <v>2410</v>
      </c>
      <c r="B1206" s="4" t="s">
        <v>2411</v>
      </c>
    </row>
    <row r="1207">
      <c r="A1207" s="4" t="s">
        <v>2412</v>
      </c>
      <c r="B1207" s="4" t="s">
        <v>2413</v>
      </c>
    </row>
    <row r="1208">
      <c r="A1208" s="4" t="s">
        <v>2414</v>
      </c>
      <c r="B1208" s="4" t="s">
        <v>2415</v>
      </c>
    </row>
    <row r="1209">
      <c r="A1209" s="4" t="s">
        <v>2416</v>
      </c>
      <c r="B1209" s="4" t="s">
        <v>2417</v>
      </c>
    </row>
    <row r="1210">
      <c r="A1210" s="4" t="s">
        <v>2418</v>
      </c>
      <c r="B1210" s="4" t="s">
        <v>2419</v>
      </c>
    </row>
    <row r="1211">
      <c r="A1211" s="4" t="s">
        <v>2420</v>
      </c>
      <c r="B1211" s="4" t="s">
        <v>2421</v>
      </c>
    </row>
    <row r="1212">
      <c r="A1212" s="4" t="s">
        <v>2422</v>
      </c>
      <c r="B1212" s="4" t="s">
        <v>2423</v>
      </c>
    </row>
    <row r="1213">
      <c r="A1213" s="4" t="s">
        <v>2424</v>
      </c>
      <c r="B1213" s="4" t="s">
        <v>2425</v>
      </c>
    </row>
    <row r="1214">
      <c r="A1214" s="4" t="s">
        <v>2426</v>
      </c>
      <c r="B1214" s="4" t="s">
        <v>2427</v>
      </c>
    </row>
    <row r="1215">
      <c r="A1215" s="4" t="s">
        <v>2428</v>
      </c>
      <c r="B1215" s="4" t="s">
        <v>2429</v>
      </c>
    </row>
    <row r="1216">
      <c r="A1216" s="4" t="s">
        <v>2430</v>
      </c>
      <c r="B1216" s="4" t="s">
        <v>2431</v>
      </c>
    </row>
    <row r="1217">
      <c r="A1217" s="4" t="s">
        <v>2432</v>
      </c>
      <c r="B1217" s="4" t="s">
        <v>2433</v>
      </c>
    </row>
    <row r="1218">
      <c r="A1218" s="4" t="s">
        <v>2434</v>
      </c>
      <c r="B1218" s="4" t="s">
        <v>2435</v>
      </c>
    </row>
    <row r="1219">
      <c r="A1219" s="4" t="s">
        <v>2436</v>
      </c>
      <c r="B1219" s="4" t="s">
        <v>2437</v>
      </c>
    </row>
    <row r="1220">
      <c r="A1220" s="4" t="s">
        <v>2438</v>
      </c>
      <c r="B1220" s="4" t="s">
        <v>2439</v>
      </c>
    </row>
    <row r="1221">
      <c r="A1221" s="4" t="s">
        <v>2440</v>
      </c>
      <c r="B1221" s="4" t="s">
        <v>2441</v>
      </c>
    </row>
    <row r="1222">
      <c r="A1222" s="4" t="s">
        <v>2442</v>
      </c>
      <c r="B1222" s="4" t="s">
        <v>2443</v>
      </c>
    </row>
    <row r="1223">
      <c r="A1223" s="4" t="s">
        <v>2444</v>
      </c>
      <c r="B1223" s="4" t="s">
        <v>2445</v>
      </c>
    </row>
    <row r="1224">
      <c r="A1224" s="4" t="s">
        <v>2446</v>
      </c>
      <c r="B1224" s="4" t="s">
        <v>2447</v>
      </c>
    </row>
    <row r="1225">
      <c r="A1225" s="4" t="s">
        <v>2448</v>
      </c>
      <c r="B1225" s="4" t="s">
        <v>2449</v>
      </c>
    </row>
    <row r="1226">
      <c r="A1226" s="4" t="s">
        <v>2450</v>
      </c>
      <c r="B1226" s="4" t="s">
        <v>2451</v>
      </c>
    </row>
    <row r="1227">
      <c r="A1227" s="4" t="s">
        <v>2452</v>
      </c>
      <c r="B1227" s="4" t="s">
        <v>2453</v>
      </c>
    </row>
    <row r="1228">
      <c r="A1228" s="4" t="s">
        <v>2454</v>
      </c>
      <c r="B1228" s="4" t="s">
        <v>2455</v>
      </c>
    </row>
    <row r="1229">
      <c r="A1229" s="4" t="s">
        <v>2456</v>
      </c>
      <c r="B1229" s="4" t="s">
        <v>2457</v>
      </c>
    </row>
    <row r="1230">
      <c r="A1230" s="4" t="s">
        <v>2458</v>
      </c>
      <c r="B1230" s="4" t="s">
        <v>2459</v>
      </c>
    </row>
    <row r="1231">
      <c r="A1231" s="4" t="s">
        <v>2460</v>
      </c>
      <c r="B1231" s="4" t="s">
        <v>2461</v>
      </c>
    </row>
    <row r="1232">
      <c r="A1232" s="4" t="s">
        <v>2462</v>
      </c>
      <c r="B1232" s="4" t="s">
        <v>2463</v>
      </c>
    </row>
    <row r="1233">
      <c r="A1233" s="4" t="s">
        <v>2464</v>
      </c>
      <c r="B1233" s="4" t="s">
        <v>2465</v>
      </c>
    </row>
    <row r="1234">
      <c r="A1234" s="4" t="s">
        <v>2466</v>
      </c>
      <c r="B1234" s="4" t="s">
        <v>2467</v>
      </c>
    </row>
    <row r="1235">
      <c r="A1235" s="4" t="s">
        <v>2468</v>
      </c>
      <c r="B1235" s="4" t="s">
        <v>2469</v>
      </c>
    </row>
    <row r="1236">
      <c r="A1236" s="4" t="s">
        <v>2470</v>
      </c>
      <c r="B1236" s="4" t="s">
        <v>2471</v>
      </c>
    </row>
    <row r="1237">
      <c r="A1237" s="4" t="s">
        <v>2472</v>
      </c>
      <c r="B1237" s="4" t="s">
        <v>2473</v>
      </c>
    </row>
    <row r="1238">
      <c r="A1238" s="4" t="s">
        <v>2474</v>
      </c>
      <c r="B1238" s="4" t="s">
        <v>2475</v>
      </c>
    </row>
    <row r="1239">
      <c r="A1239" s="4" t="s">
        <v>2476</v>
      </c>
      <c r="B1239" s="4" t="s">
        <v>2477</v>
      </c>
    </row>
    <row r="1240">
      <c r="A1240" s="4" t="s">
        <v>2478</v>
      </c>
      <c r="B1240" s="4" t="s">
        <v>2479</v>
      </c>
    </row>
    <row r="1241">
      <c r="A1241" s="4" t="s">
        <v>2480</v>
      </c>
      <c r="B1241" s="4" t="s">
        <v>2481</v>
      </c>
    </row>
    <row r="1242">
      <c r="A1242" s="4" t="s">
        <v>2482</v>
      </c>
      <c r="B1242" s="4" t="s">
        <v>2483</v>
      </c>
    </row>
    <row r="1243">
      <c r="A1243" s="4" t="s">
        <v>2484</v>
      </c>
      <c r="B1243" s="4" t="s">
        <v>2485</v>
      </c>
    </row>
    <row r="1244">
      <c r="A1244" s="4" t="s">
        <v>2486</v>
      </c>
      <c r="B1244" s="4" t="s">
        <v>2487</v>
      </c>
    </row>
    <row r="1245">
      <c r="A1245" s="4" t="s">
        <v>2488</v>
      </c>
      <c r="B1245" s="4" t="s">
        <v>2489</v>
      </c>
    </row>
    <row r="1246">
      <c r="A1246" s="4" t="s">
        <v>2490</v>
      </c>
      <c r="B1246" s="4" t="s">
        <v>2491</v>
      </c>
    </row>
    <row r="1247">
      <c r="A1247" s="4" t="s">
        <v>2492</v>
      </c>
      <c r="B1247" s="4" t="s">
        <v>2493</v>
      </c>
    </row>
    <row r="1248">
      <c r="A1248" s="4" t="s">
        <v>2494</v>
      </c>
      <c r="B1248" s="4" t="s">
        <v>2495</v>
      </c>
    </row>
    <row r="1249">
      <c r="A1249" s="4" t="s">
        <v>2496</v>
      </c>
      <c r="B1249" s="4" t="s">
        <v>2497</v>
      </c>
    </row>
    <row r="1250">
      <c r="A1250" s="4" t="s">
        <v>2498</v>
      </c>
      <c r="B1250" s="4" t="s">
        <v>2499</v>
      </c>
    </row>
    <row r="1251">
      <c r="A1251" s="4" t="s">
        <v>2500</v>
      </c>
      <c r="B1251" s="4" t="s">
        <v>2501</v>
      </c>
    </row>
    <row r="1252">
      <c r="A1252" s="4" t="s">
        <v>2502</v>
      </c>
      <c r="B1252" s="4" t="s">
        <v>2503</v>
      </c>
    </row>
    <row r="1253">
      <c r="A1253" s="4" t="s">
        <v>2504</v>
      </c>
      <c r="B1253" s="4" t="s">
        <v>2505</v>
      </c>
    </row>
    <row r="1254">
      <c r="A1254" s="4" t="s">
        <v>2506</v>
      </c>
      <c r="B1254" s="4" t="s">
        <v>2507</v>
      </c>
    </row>
    <row r="1255">
      <c r="A1255" s="4" t="s">
        <v>2508</v>
      </c>
      <c r="B1255" s="4" t="s">
        <v>2509</v>
      </c>
    </row>
    <row r="1256">
      <c r="A1256" s="4" t="s">
        <v>2510</v>
      </c>
      <c r="B1256" s="4" t="s">
        <v>2511</v>
      </c>
    </row>
    <row r="1257">
      <c r="A1257" s="4" t="s">
        <v>2512</v>
      </c>
      <c r="B1257" s="4" t="s">
        <v>2513</v>
      </c>
    </row>
    <row r="1258">
      <c r="A1258" s="4" t="s">
        <v>2514</v>
      </c>
      <c r="B1258" s="4" t="s">
        <v>2515</v>
      </c>
    </row>
    <row r="1259">
      <c r="A1259" s="4" t="s">
        <v>2516</v>
      </c>
      <c r="B1259" s="4" t="s">
        <v>2517</v>
      </c>
    </row>
    <row r="1260">
      <c r="A1260" s="4" t="s">
        <v>2518</v>
      </c>
      <c r="B1260" s="4" t="s">
        <v>2519</v>
      </c>
    </row>
    <row r="1261">
      <c r="A1261" s="4" t="s">
        <v>2520</v>
      </c>
      <c r="B1261" s="4" t="s">
        <v>2521</v>
      </c>
    </row>
    <row r="1262">
      <c r="A1262" s="4" t="s">
        <v>2522</v>
      </c>
      <c r="B1262" s="4" t="s">
        <v>2523</v>
      </c>
    </row>
    <row r="1263">
      <c r="A1263" s="4" t="s">
        <v>2524</v>
      </c>
      <c r="B1263" s="4" t="s">
        <v>2525</v>
      </c>
    </row>
    <row r="1264">
      <c r="A1264" s="4" t="s">
        <v>2526</v>
      </c>
      <c r="B1264" s="4" t="s">
        <v>2527</v>
      </c>
    </row>
    <row r="1265">
      <c r="A1265" s="4" t="s">
        <v>2528</v>
      </c>
      <c r="B1265" s="4" t="s">
        <v>2529</v>
      </c>
    </row>
    <row r="1266">
      <c r="A1266" s="4" t="s">
        <v>2530</v>
      </c>
      <c r="B1266" s="4" t="s">
        <v>2531</v>
      </c>
    </row>
    <row r="1267">
      <c r="A1267" s="4" t="s">
        <v>2532</v>
      </c>
      <c r="B1267" s="4" t="s">
        <v>2533</v>
      </c>
    </row>
    <row r="1268">
      <c r="A1268" s="4" t="s">
        <v>2534</v>
      </c>
      <c r="B1268" s="4" t="s">
        <v>2535</v>
      </c>
    </row>
    <row r="1269">
      <c r="A1269" s="4" t="s">
        <v>2536</v>
      </c>
      <c r="B1269" s="4" t="s">
        <v>2537</v>
      </c>
    </row>
    <row r="1270">
      <c r="A1270" s="4" t="s">
        <v>2538</v>
      </c>
      <c r="B1270" s="4" t="s">
        <v>2539</v>
      </c>
    </row>
    <row r="1271">
      <c r="A1271" s="4" t="s">
        <v>2540</v>
      </c>
      <c r="B1271" s="4" t="s">
        <v>2541</v>
      </c>
    </row>
    <row r="1272">
      <c r="A1272" s="4" t="s">
        <v>2542</v>
      </c>
      <c r="B1272" s="4" t="s">
        <v>2543</v>
      </c>
    </row>
    <row r="1273">
      <c r="A1273" s="4" t="s">
        <v>2544</v>
      </c>
      <c r="B1273" s="4" t="s">
        <v>2545</v>
      </c>
    </row>
    <row r="1274">
      <c r="A1274" s="4" t="s">
        <v>2546</v>
      </c>
      <c r="B1274" s="4" t="s">
        <v>2547</v>
      </c>
    </row>
    <row r="1275">
      <c r="A1275" s="4" t="s">
        <v>2548</v>
      </c>
      <c r="B1275" s="4" t="s">
        <v>2549</v>
      </c>
    </row>
    <row r="1276">
      <c r="A1276" s="4" t="s">
        <v>2550</v>
      </c>
      <c r="B1276" s="4" t="s">
        <v>2551</v>
      </c>
    </row>
    <row r="1277">
      <c r="A1277" s="4" t="s">
        <v>2552</v>
      </c>
      <c r="B1277" s="4" t="s">
        <v>2553</v>
      </c>
    </row>
    <row r="1278">
      <c r="A1278" s="4" t="s">
        <v>2554</v>
      </c>
      <c r="B1278" s="4" t="s">
        <v>2555</v>
      </c>
    </row>
    <row r="1279">
      <c r="A1279" s="4" t="s">
        <v>2556</v>
      </c>
      <c r="B1279" s="4" t="s">
        <v>2557</v>
      </c>
    </row>
    <row r="1280">
      <c r="A1280" s="4" t="s">
        <v>2558</v>
      </c>
      <c r="B1280" s="4" t="s">
        <v>2559</v>
      </c>
    </row>
    <row r="1281">
      <c r="A1281" s="4" t="s">
        <v>2560</v>
      </c>
      <c r="B1281" s="4" t="s">
        <v>2561</v>
      </c>
    </row>
    <row r="1282">
      <c r="A1282" s="4" t="s">
        <v>2562</v>
      </c>
      <c r="B1282" s="4" t="s">
        <v>2563</v>
      </c>
    </row>
    <row r="1283">
      <c r="A1283" s="4" t="s">
        <v>2564</v>
      </c>
      <c r="B1283" s="4" t="s">
        <v>2565</v>
      </c>
    </row>
    <row r="1284">
      <c r="A1284" s="4" t="s">
        <v>2566</v>
      </c>
      <c r="B1284" s="4" t="s">
        <v>2567</v>
      </c>
    </row>
    <row r="1285">
      <c r="A1285" s="4" t="s">
        <v>2568</v>
      </c>
      <c r="B1285" s="4" t="s">
        <v>2569</v>
      </c>
    </row>
    <row r="1286">
      <c r="A1286" s="4" t="s">
        <v>2570</v>
      </c>
      <c r="B1286" s="4" t="s">
        <v>2571</v>
      </c>
    </row>
    <row r="1287">
      <c r="A1287" s="4" t="s">
        <v>2572</v>
      </c>
      <c r="B1287" s="4" t="s">
        <v>2573</v>
      </c>
    </row>
    <row r="1288">
      <c r="A1288" s="4" t="s">
        <v>2574</v>
      </c>
      <c r="B1288" s="4" t="s">
        <v>2575</v>
      </c>
    </row>
    <row r="1289">
      <c r="A1289" s="4" t="s">
        <v>2576</v>
      </c>
      <c r="B1289" s="4" t="s">
        <v>2577</v>
      </c>
    </row>
    <row r="1290">
      <c r="A1290" s="4" t="s">
        <v>2578</v>
      </c>
      <c r="B1290" s="4" t="s">
        <v>2579</v>
      </c>
    </row>
    <row r="1291">
      <c r="A1291" s="4" t="s">
        <v>2580</v>
      </c>
      <c r="B1291" s="4" t="s">
        <v>2581</v>
      </c>
    </row>
    <row r="1292">
      <c r="A1292" s="4" t="s">
        <v>2582</v>
      </c>
      <c r="B1292" s="4" t="s">
        <v>2583</v>
      </c>
    </row>
    <row r="1293">
      <c r="A1293" s="4" t="s">
        <v>2584</v>
      </c>
      <c r="B1293" s="4" t="s">
        <v>2585</v>
      </c>
    </row>
    <row r="1294">
      <c r="A1294" s="4" t="s">
        <v>2586</v>
      </c>
      <c r="B1294" s="4" t="s">
        <v>2587</v>
      </c>
    </row>
    <row r="1295">
      <c r="A1295" s="4" t="s">
        <v>2588</v>
      </c>
      <c r="B1295" s="4" t="s">
        <v>2589</v>
      </c>
    </row>
    <row r="1296">
      <c r="A1296" s="4" t="s">
        <v>2590</v>
      </c>
      <c r="B1296" s="4" t="s">
        <v>2591</v>
      </c>
    </row>
    <row r="1297">
      <c r="A1297" s="4" t="s">
        <v>2592</v>
      </c>
      <c r="B1297" s="4" t="s">
        <v>2593</v>
      </c>
    </row>
    <row r="1298">
      <c r="A1298" s="4" t="s">
        <v>2594</v>
      </c>
      <c r="B1298" s="4" t="s">
        <v>2595</v>
      </c>
    </row>
    <row r="1299">
      <c r="A1299" s="4" t="s">
        <v>2596</v>
      </c>
      <c r="B1299" s="4" t="s">
        <v>2597</v>
      </c>
    </row>
    <row r="1300">
      <c r="A1300" s="4" t="s">
        <v>2598</v>
      </c>
      <c r="B1300" s="4" t="s">
        <v>2599</v>
      </c>
    </row>
    <row r="1301">
      <c r="A1301" s="4" t="s">
        <v>2600</v>
      </c>
      <c r="B1301" s="4" t="s">
        <v>2601</v>
      </c>
    </row>
    <row r="1302">
      <c r="A1302" s="4" t="s">
        <v>2602</v>
      </c>
      <c r="B1302" s="4" t="s">
        <v>2603</v>
      </c>
    </row>
    <row r="1303">
      <c r="A1303" s="4" t="s">
        <v>2604</v>
      </c>
      <c r="B1303" s="4" t="s">
        <v>2605</v>
      </c>
    </row>
    <row r="1304">
      <c r="A1304" s="4" t="s">
        <v>2606</v>
      </c>
      <c r="B1304" s="4" t="s">
        <v>2607</v>
      </c>
    </row>
    <row r="1305">
      <c r="A1305" s="4" t="s">
        <v>2608</v>
      </c>
      <c r="B1305" s="4" t="s">
        <v>2609</v>
      </c>
    </row>
    <row r="1306">
      <c r="A1306" s="4" t="s">
        <v>2610</v>
      </c>
      <c r="B1306" s="4" t="s">
        <v>2611</v>
      </c>
    </row>
    <row r="1307">
      <c r="A1307" s="4" t="s">
        <v>2612</v>
      </c>
      <c r="B1307" s="4" t="s">
        <v>2613</v>
      </c>
    </row>
    <row r="1308">
      <c r="A1308" s="4" t="s">
        <v>2614</v>
      </c>
      <c r="B1308" s="4" t="s">
        <v>2615</v>
      </c>
    </row>
    <row r="1309">
      <c r="A1309" s="4" t="s">
        <v>2616</v>
      </c>
      <c r="B1309" s="4" t="s">
        <v>2617</v>
      </c>
    </row>
    <row r="1310">
      <c r="A1310" s="4" t="s">
        <v>2618</v>
      </c>
      <c r="B1310" s="4" t="s">
        <v>2619</v>
      </c>
    </row>
    <row r="1311">
      <c r="A1311" s="4" t="s">
        <v>2620</v>
      </c>
      <c r="B1311" s="4" t="s">
        <v>2621</v>
      </c>
    </row>
    <row r="1312">
      <c r="A1312" s="4" t="s">
        <v>2622</v>
      </c>
      <c r="B1312" s="4" t="s">
        <v>2623</v>
      </c>
    </row>
    <row r="1313">
      <c r="A1313" s="4" t="s">
        <v>2624</v>
      </c>
      <c r="B1313" s="4" t="s">
        <v>2625</v>
      </c>
    </row>
    <row r="1314">
      <c r="A1314" s="4" t="s">
        <v>2626</v>
      </c>
      <c r="B1314" s="4" t="s">
        <v>2627</v>
      </c>
    </row>
    <row r="1315">
      <c r="A1315" s="4" t="s">
        <v>2628</v>
      </c>
      <c r="B1315" s="4" t="s">
        <v>2629</v>
      </c>
    </row>
    <row r="1316">
      <c r="A1316" s="4" t="s">
        <v>2630</v>
      </c>
      <c r="B1316" s="4" t="s">
        <v>2631</v>
      </c>
    </row>
    <row r="1317">
      <c r="A1317" s="4" t="s">
        <v>2632</v>
      </c>
      <c r="B1317" s="4" t="s">
        <v>2633</v>
      </c>
    </row>
    <row r="1318">
      <c r="A1318" s="4" t="s">
        <v>2634</v>
      </c>
      <c r="B1318" s="4" t="s">
        <v>2635</v>
      </c>
    </row>
    <row r="1319">
      <c r="A1319" s="4" t="s">
        <v>2636</v>
      </c>
      <c r="B1319" s="4" t="s">
        <v>2637</v>
      </c>
    </row>
    <row r="1320">
      <c r="A1320" s="4" t="s">
        <v>2638</v>
      </c>
      <c r="B1320" s="4" t="s">
        <v>2639</v>
      </c>
    </row>
    <row r="1321">
      <c r="A1321" s="4" t="s">
        <v>2640</v>
      </c>
      <c r="B1321" s="4" t="s">
        <v>2641</v>
      </c>
    </row>
    <row r="1322">
      <c r="A1322" s="4" t="s">
        <v>2642</v>
      </c>
      <c r="B1322" s="4" t="s">
        <v>2643</v>
      </c>
    </row>
    <row r="1323">
      <c r="A1323" s="4" t="s">
        <v>2644</v>
      </c>
      <c r="B1323" s="4" t="s">
        <v>2645</v>
      </c>
    </row>
    <row r="1324">
      <c r="A1324" s="4" t="s">
        <v>2646</v>
      </c>
      <c r="B1324" s="4" t="s">
        <v>2647</v>
      </c>
    </row>
    <row r="1325">
      <c r="A1325" s="4" t="s">
        <v>2648</v>
      </c>
      <c r="B1325" s="4" t="s">
        <v>2649</v>
      </c>
    </row>
    <row r="1326">
      <c r="A1326" s="4" t="s">
        <v>2650</v>
      </c>
      <c r="B1326" s="4" t="s">
        <v>2651</v>
      </c>
    </row>
    <row r="1327">
      <c r="A1327" s="4" t="s">
        <v>2652</v>
      </c>
      <c r="B1327" s="4" t="s">
        <v>2653</v>
      </c>
    </row>
    <row r="1328">
      <c r="A1328" s="4" t="s">
        <v>2654</v>
      </c>
      <c r="B1328" s="4" t="s">
        <v>2655</v>
      </c>
    </row>
    <row r="1329">
      <c r="A1329" s="4" t="s">
        <v>2656</v>
      </c>
      <c r="B1329" s="4" t="s">
        <v>2657</v>
      </c>
    </row>
    <row r="1330">
      <c r="A1330" s="4" t="s">
        <v>2658</v>
      </c>
      <c r="B1330" s="4" t="s">
        <v>2659</v>
      </c>
    </row>
    <row r="1331">
      <c r="A1331" s="4" t="s">
        <v>2660</v>
      </c>
      <c r="B1331" s="4" t="s">
        <v>2661</v>
      </c>
    </row>
    <row r="1332">
      <c r="A1332" s="4" t="s">
        <v>2662</v>
      </c>
      <c r="B1332" s="4" t="s">
        <v>2663</v>
      </c>
    </row>
    <row r="1333">
      <c r="A1333" s="4" t="s">
        <v>2664</v>
      </c>
      <c r="B1333" s="4" t="s">
        <v>2665</v>
      </c>
    </row>
    <row r="1334">
      <c r="A1334" s="4" t="s">
        <v>2666</v>
      </c>
      <c r="B1334" s="4" t="s">
        <v>2667</v>
      </c>
    </row>
    <row r="1335">
      <c r="A1335" s="4" t="s">
        <v>2668</v>
      </c>
      <c r="B1335" s="4" t="s">
        <v>2669</v>
      </c>
    </row>
    <row r="1336">
      <c r="A1336" s="4" t="s">
        <v>2670</v>
      </c>
      <c r="B1336" s="4" t="s">
        <v>2671</v>
      </c>
    </row>
    <row r="1337">
      <c r="A1337" s="4" t="s">
        <v>2672</v>
      </c>
      <c r="B1337" s="4" t="s">
        <v>2673</v>
      </c>
    </row>
    <row r="1338">
      <c r="A1338" s="4" t="s">
        <v>2674</v>
      </c>
      <c r="B1338" s="4" t="s">
        <v>2675</v>
      </c>
    </row>
    <row r="1339">
      <c r="A1339" s="4" t="s">
        <v>2676</v>
      </c>
      <c r="B1339" s="4" t="s">
        <v>2677</v>
      </c>
    </row>
    <row r="1340">
      <c r="A1340" s="4" t="s">
        <v>2678</v>
      </c>
      <c r="B1340" s="4" t="s">
        <v>2679</v>
      </c>
    </row>
    <row r="1341">
      <c r="A1341" s="4" t="s">
        <v>2680</v>
      </c>
      <c r="B1341" s="4" t="s">
        <v>2681</v>
      </c>
    </row>
    <row r="1342">
      <c r="A1342" s="4" t="s">
        <v>2682</v>
      </c>
      <c r="B1342" s="4" t="s">
        <v>2683</v>
      </c>
    </row>
    <row r="1343">
      <c r="A1343" s="4" t="s">
        <v>2684</v>
      </c>
      <c r="B1343" s="4" t="s">
        <v>2685</v>
      </c>
    </row>
    <row r="1344">
      <c r="A1344" s="4" t="s">
        <v>2686</v>
      </c>
      <c r="B1344" s="4" t="s">
        <v>2687</v>
      </c>
    </row>
    <row r="1345">
      <c r="A1345" s="4" t="s">
        <v>2688</v>
      </c>
      <c r="B1345" s="4" t="s">
        <v>2689</v>
      </c>
    </row>
    <row r="1346">
      <c r="A1346" s="4" t="s">
        <v>2690</v>
      </c>
      <c r="B1346" s="4" t="s">
        <v>2691</v>
      </c>
    </row>
    <row r="1347">
      <c r="A1347" s="4" t="s">
        <v>2692</v>
      </c>
      <c r="B1347" s="4" t="s">
        <v>2693</v>
      </c>
    </row>
    <row r="1348">
      <c r="A1348" s="4" t="s">
        <v>2694</v>
      </c>
      <c r="B1348" s="4" t="s">
        <v>2695</v>
      </c>
    </row>
    <row r="1349">
      <c r="A1349" s="4" t="s">
        <v>2696</v>
      </c>
      <c r="B1349" s="4" t="s">
        <v>2697</v>
      </c>
    </row>
    <row r="1350">
      <c r="A1350" s="4" t="s">
        <v>2698</v>
      </c>
      <c r="B1350" s="4" t="s">
        <v>2699</v>
      </c>
    </row>
    <row r="1351">
      <c r="A1351" s="4" t="s">
        <v>2700</v>
      </c>
      <c r="B1351" s="4" t="s">
        <v>2701</v>
      </c>
    </row>
    <row r="1352">
      <c r="A1352" s="4" t="s">
        <v>2702</v>
      </c>
      <c r="B1352" s="4" t="s">
        <v>2703</v>
      </c>
    </row>
    <row r="1353">
      <c r="A1353" s="4" t="s">
        <v>2704</v>
      </c>
      <c r="B1353" s="4" t="s">
        <v>2705</v>
      </c>
    </row>
    <row r="1354">
      <c r="A1354" s="4" t="s">
        <v>2706</v>
      </c>
      <c r="B1354" s="4" t="s">
        <v>2707</v>
      </c>
    </row>
    <row r="1355">
      <c r="A1355" s="4" t="s">
        <v>2708</v>
      </c>
      <c r="B1355" s="4" t="s">
        <v>2709</v>
      </c>
    </row>
    <row r="1356">
      <c r="A1356" s="4" t="s">
        <v>2710</v>
      </c>
      <c r="B1356" s="4" t="s">
        <v>2711</v>
      </c>
    </row>
    <row r="1357">
      <c r="A1357" s="4" t="s">
        <v>2712</v>
      </c>
      <c r="B1357" s="4" t="s">
        <v>2713</v>
      </c>
    </row>
    <row r="1358">
      <c r="A1358" s="4" t="s">
        <v>2714</v>
      </c>
      <c r="B1358" s="4" t="s">
        <v>2715</v>
      </c>
    </row>
    <row r="1359">
      <c r="A1359" s="4" t="s">
        <v>2716</v>
      </c>
      <c r="B1359" s="4" t="s">
        <v>2717</v>
      </c>
    </row>
    <row r="1360">
      <c r="A1360" s="4" t="s">
        <v>2718</v>
      </c>
      <c r="B1360" s="4" t="s">
        <v>2719</v>
      </c>
    </row>
    <row r="1361">
      <c r="A1361" s="4" t="s">
        <v>2720</v>
      </c>
      <c r="B1361" s="4" t="s">
        <v>2721</v>
      </c>
    </row>
    <row r="1362">
      <c r="A1362" s="4" t="s">
        <v>2722</v>
      </c>
      <c r="B1362" s="4" t="s">
        <v>2723</v>
      </c>
    </row>
    <row r="1363">
      <c r="A1363" s="4" t="s">
        <v>2724</v>
      </c>
      <c r="B1363" s="4" t="s">
        <v>2725</v>
      </c>
    </row>
    <row r="1364">
      <c r="A1364" s="4" t="s">
        <v>2726</v>
      </c>
      <c r="B1364" s="4" t="s">
        <v>2727</v>
      </c>
    </row>
    <row r="1365">
      <c r="A1365" s="4" t="s">
        <v>2728</v>
      </c>
      <c r="B1365" s="4" t="s">
        <v>2729</v>
      </c>
    </row>
    <row r="1366">
      <c r="A1366" s="4" t="s">
        <v>2730</v>
      </c>
      <c r="B1366" s="4" t="s">
        <v>2731</v>
      </c>
    </row>
    <row r="1367">
      <c r="A1367" s="4" t="s">
        <v>2732</v>
      </c>
      <c r="B1367" s="4" t="s">
        <v>2733</v>
      </c>
    </row>
    <row r="1368">
      <c r="A1368" s="4" t="s">
        <v>2734</v>
      </c>
      <c r="B1368" s="4" t="s">
        <v>2735</v>
      </c>
    </row>
    <row r="1369">
      <c r="A1369" s="4" t="s">
        <v>2736</v>
      </c>
      <c r="B1369" s="4" t="s">
        <v>2737</v>
      </c>
    </row>
    <row r="1370">
      <c r="A1370" s="4" t="s">
        <v>2738</v>
      </c>
      <c r="B1370" s="4" t="s">
        <v>2739</v>
      </c>
    </row>
    <row r="1371">
      <c r="A1371" s="4" t="s">
        <v>2740</v>
      </c>
      <c r="B1371" s="4" t="s">
        <v>2741</v>
      </c>
    </row>
    <row r="1372">
      <c r="A1372" s="4" t="s">
        <v>2742</v>
      </c>
      <c r="B1372" s="4" t="s">
        <v>2743</v>
      </c>
    </row>
    <row r="1373">
      <c r="A1373" s="4" t="s">
        <v>2744</v>
      </c>
      <c r="B1373" s="4" t="s">
        <v>2745</v>
      </c>
    </row>
    <row r="1374">
      <c r="A1374" s="4" t="s">
        <v>2746</v>
      </c>
      <c r="B1374" s="4" t="s">
        <v>2747</v>
      </c>
    </row>
    <row r="1375">
      <c r="A1375" s="4" t="s">
        <v>2748</v>
      </c>
      <c r="B1375" s="4" t="s">
        <v>2749</v>
      </c>
    </row>
    <row r="1376">
      <c r="A1376" s="4" t="s">
        <v>2750</v>
      </c>
      <c r="B1376" s="4" t="s">
        <v>2751</v>
      </c>
    </row>
    <row r="1377">
      <c r="A1377" s="4" t="s">
        <v>2752</v>
      </c>
      <c r="B1377" s="4" t="s">
        <v>2753</v>
      </c>
    </row>
    <row r="1378">
      <c r="A1378" s="4" t="s">
        <v>2754</v>
      </c>
      <c r="B1378" s="4" t="s">
        <v>2755</v>
      </c>
    </row>
    <row r="1379">
      <c r="A1379" s="4" t="s">
        <v>2756</v>
      </c>
      <c r="B1379" s="4" t="s">
        <v>2757</v>
      </c>
    </row>
    <row r="1380">
      <c r="A1380" s="4" t="s">
        <v>2758</v>
      </c>
      <c r="B1380" s="4" t="s">
        <v>2759</v>
      </c>
    </row>
    <row r="1381">
      <c r="A1381" s="4" t="s">
        <v>2760</v>
      </c>
      <c r="B1381" s="4" t="s">
        <v>2761</v>
      </c>
    </row>
    <row r="1382">
      <c r="A1382" s="4" t="s">
        <v>2762</v>
      </c>
      <c r="B1382" s="4" t="s">
        <v>2763</v>
      </c>
    </row>
    <row r="1383">
      <c r="A1383" s="4" t="s">
        <v>2764</v>
      </c>
      <c r="B1383" s="4" t="s">
        <v>2765</v>
      </c>
    </row>
    <row r="1384">
      <c r="A1384" s="4" t="s">
        <v>2766</v>
      </c>
      <c r="B1384" s="4" t="s">
        <v>2767</v>
      </c>
    </row>
    <row r="1385">
      <c r="A1385" s="4" t="s">
        <v>2768</v>
      </c>
      <c r="B1385" s="4" t="s">
        <v>2769</v>
      </c>
    </row>
    <row r="1386">
      <c r="A1386" s="4" t="s">
        <v>2770</v>
      </c>
      <c r="B1386" s="4" t="s">
        <v>2771</v>
      </c>
    </row>
    <row r="1387">
      <c r="A1387" s="4" t="s">
        <v>2772</v>
      </c>
      <c r="B1387" s="4" t="s">
        <v>2773</v>
      </c>
    </row>
    <row r="1388">
      <c r="A1388" s="4" t="s">
        <v>2774</v>
      </c>
      <c r="B1388" s="4" t="s">
        <v>2775</v>
      </c>
    </row>
    <row r="1389">
      <c r="A1389" s="4" t="s">
        <v>2776</v>
      </c>
      <c r="B1389" s="4" t="s">
        <v>2777</v>
      </c>
    </row>
    <row r="1390">
      <c r="A1390" s="4" t="s">
        <v>2778</v>
      </c>
      <c r="B1390" s="4" t="s">
        <v>2779</v>
      </c>
    </row>
    <row r="1391">
      <c r="A1391" s="4" t="s">
        <v>2780</v>
      </c>
      <c r="B1391" s="4" t="s">
        <v>2781</v>
      </c>
    </row>
    <row r="1392">
      <c r="A1392" s="4" t="s">
        <v>2782</v>
      </c>
      <c r="B1392" s="4" t="s">
        <v>2783</v>
      </c>
    </row>
    <row r="1393">
      <c r="A1393" s="4" t="s">
        <v>2784</v>
      </c>
      <c r="B1393" s="4" t="s">
        <v>2785</v>
      </c>
    </row>
    <row r="1394">
      <c r="A1394" s="4" t="s">
        <v>2786</v>
      </c>
      <c r="B1394" s="4" t="s">
        <v>2787</v>
      </c>
    </row>
    <row r="1395">
      <c r="A1395" s="4" t="s">
        <v>2788</v>
      </c>
      <c r="B1395" s="4" t="s">
        <v>2789</v>
      </c>
    </row>
    <row r="1396">
      <c r="A1396" s="4" t="s">
        <v>2790</v>
      </c>
      <c r="B1396" s="4" t="s">
        <v>2791</v>
      </c>
    </row>
    <row r="1397">
      <c r="A1397" s="4" t="s">
        <v>2792</v>
      </c>
      <c r="B1397" s="4" t="s">
        <v>2793</v>
      </c>
    </row>
    <row r="1398">
      <c r="A1398" s="4" t="s">
        <v>2794</v>
      </c>
      <c r="B1398" s="4" t="s">
        <v>2795</v>
      </c>
    </row>
    <row r="1399">
      <c r="A1399" s="4" t="s">
        <v>2796</v>
      </c>
      <c r="B1399" s="4" t="s">
        <v>2797</v>
      </c>
    </row>
    <row r="1400">
      <c r="A1400" s="4" t="s">
        <v>2798</v>
      </c>
      <c r="B1400" s="4" t="s">
        <v>2799</v>
      </c>
    </row>
    <row r="1401">
      <c r="A1401" s="4" t="s">
        <v>2800</v>
      </c>
      <c r="B1401" s="4" t="s">
        <v>2801</v>
      </c>
    </row>
    <row r="1402">
      <c r="A1402" s="4" t="s">
        <v>2802</v>
      </c>
      <c r="B1402" s="4" t="s">
        <v>2803</v>
      </c>
    </row>
    <row r="1403">
      <c r="A1403" s="4" t="s">
        <v>2804</v>
      </c>
      <c r="B1403" s="4" t="s">
        <v>2805</v>
      </c>
    </row>
    <row r="1404">
      <c r="A1404" s="4" t="s">
        <v>2806</v>
      </c>
      <c r="B1404" s="4" t="s">
        <v>2807</v>
      </c>
    </row>
    <row r="1405">
      <c r="A1405" s="4" t="s">
        <v>2808</v>
      </c>
      <c r="B1405" s="4" t="s">
        <v>2809</v>
      </c>
    </row>
    <row r="1406">
      <c r="A1406" s="4" t="s">
        <v>2810</v>
      </c>
      <c r="B1406" s="4" t="s">
        <v>2811</v>
      </c>
    </row>
    <row r="1407">
      <c r="A1407" s="4" t="s">
        <v>2812</v>
      </c>
      <c r="B1407" s="4" t="s">
        <v>2813</v>
      </c>
    </row>
    <row r="1408">
      <c r="A1408" s="4" t="s">
        <v>2814</v>
      </c>
      <c r="B1408" s="4" t="s">
        <v>2815</v>
      </c>
    </row>
    <row r="1409">
      <c r="A1409" s="4" t="s">
        <v>2816</v>
      </c>
      <c r="B1409" s="4" t="s">
        <v>2817</v>
      </c>
    </row>
    <row r="1410">
      <c r="A1410" s="4" t="s">
        <v>2818</v>
      </c>
      <c r="B1410" s="4" t="s">
        <v>2819</v>
      </c>
    </row>
    <row r="1411">
      <c r="A1411" s="4" t="s">
        <v>2820</v>
      </c>
      <c r="B1411" s="4" t="s">
        <v>2821</v>
      </c>
    </row>
    <row r="1412">
      <c r="A1412" s="4" t="s">
        <v>2822</v>
      </c>
      <c r="B1412" s="4" t="s">
        <v>2823</v>
      </c>
    </row>
    <row r="1413">
      <c r="A1413" s="4" t="s">
        <v>2824</v>
      </c>
      <c r="B1413" s="4" t="s">
        <v>2825</v>
      </c>
    </row>
    <row r="1414">
      <c r="A1414" s="4" t="s">
        <v>2826</v>
      </c>
      <c r="B1414" s="4" t="s">
        <v>2827</v>
      </c>
    </row>
    <row r="1415">
      <c r="A1415" s="4" t="s">
        <v>2828</v>
      </c>
      <c r="B1415" s="4" t="s">
        <v>2829</v>
      </c>
    </row>
    <row r="1416">
      <c r="A1416" s="4" t="s">
        <v>2830</v>
      </c>
      <c r="B1416" s="4" t="s">
        <v>2831</v>
      </c>
    </row>
    <row r="1417">
      <c r="A1417" s="4" t="s">
        <v>2832</v>
      </c>
      <c r="B1417" s="4" t="s">
        <v>2833</v>
      </c>
    </row>
    <row r="1418">
      <c r="A1418" s="4" t="s">
        <v>2834</v>
      </c>
      <c r="B1418" s="4" t="s">
        <v>2835</v>
      </c>
    </row>
    <row r="1419">
      <c r="A1419" s="4" t="s">
        <v>2836</v>
      </c>
      <c r="B1419" s="4" t="s">
        <v>2837</v>
      </c>
    </row>
    <row r="1420">
      <c r="A1420" s="4" t="s">
        <v>2838</v>
      </c>
      <c r="B1420" s="4" t="s">
        <v>2839</v>
      </c>
    </row>
    <row r="1421">
      <c r="A1421" s="4" t="s">
        <v>2840</v>
      </c>
      <c r="B1421" s="4" t="s">
        <v>2841</v>
      </c>
    </row>
    <row r="1422">
      <c r="A1422" s="4" t="s">
        <v>2842</v>
      </c>
      <c r="B1422" s="4" t="s">
        <v>2843</v>
      </c>
    </row>
    <row r="1423">
      <c r="A1423" s="4" t="s">
        <v>2844</v>
      </c>
      <c r="B1423" s="4" t="s">
        <v>2845</v>
      </c>
    </row>
    <row r="1424">
      <c r="A1424" s="4" t="s">
        <v>2846</v>
      </c>
      <c r="B1424" s="4" t="s">
        <v>2847</v>
      </c>
    </row>
    <row r="1425">
      <c r="A1425" s="4" t="s">
        <v>2848</v>
      </c>
      <c r="B1425" s="4" t="s">
        <v>2849</v>
      </c>
    </row>
    <row r="1426">
      <c r="A1426" s="4" t="s">
        <v>2850</v>
      </c>
      <c r="B1426" s="4" t="s">
        <v>2851</v>
      </c>
    </row>
    <row r="1427">
      <c r="A1427" s="4" t="s">
        <v>2852</v>
      </c>
      <c r="B1427" s="4" t="s">
        <v>2853</v>
      </c>
    </row>
    <row r="1428">
      <c r="A1428" s="4" t="s">
        <v>2854</v>
      </c>
      <c r="B1428" s="4" t="s">
        <v>2855</v>
      </c>
    </row>
    <row r="1429">
      <c r="A1429" s="4" t="s">
        <v>2856</v>
      </c>
      <c r="B1429" s="4" t="s">
        <v>2857</v>
      </c>
    </row>
    <row r="1430">
      <c r="A1430" s="4" t="s">
        <v>2858</v>
      </c>
      <c r="B1430" s="4" t="s">
        <v>2859</v>
      </c>
    </row>
    <row r="1431">
      <c r="A1431" s="4" t="s">
        <v>2860</v>
      </c>
      <c r="B1431" s="4" t="s">
        <v>2861</v>
      </c>
    </row>
    <row r="1432">
      <c r="A1432" s="4" t="s">
        <v>2862</v>
      </c>
      <c r="B1432" s="4" t="s">
        <v>2863</v>
      </c>
    </row>
    <row r="1433">
      <c r="A1433" s="4" t="s">
        <v>2864</v>
      </c>
      <c r="B1433" s="4" t="s">
        <v>2865</v>
      </c>
    </row>
    <row r="1434">
      <c r="A1434" s="4" t="s">
        <v>2866</v>
      </c>
      <c r="B1434" s="4" t="s">
        <v>2867</v>
      </c>
    </row>
    <row r="1435">
      <c r="A1435" s="4" t="s">
        <v>2868</v>
      </c>
      <c r="B1435" s="4" t="s">
        <v>2869</v>
      </c>
    </row>
    <row r="1436">
      <c r="A1436" s="4" t="s">
        <v>2870</v>
      </c>
      <c r="B1436" s="4" t="s">
        <v>2871</v>
      </c>
    </row>
    <row r="1437">
      <c r="A1437" s="4" t="s">
        <v>2872</v>
      </c>
      <c r="B1437" s="4" t="s">
        <v>2873</v>
      </c>
    </row>
    <row r="1438">
      <c r="A1438" s="4" t="s">
        <v>2874</v>
      </c>
      <c r="B1438" s="4" t="s">
        <v>2875</v>
      </c>
    </row>
    <row r="1439">
      <c r="A1439" s="4" t="s">
        <v>2876</v>
      </c>
      <c r="B1439" s="4" t="s">
        <v>2877</v>
      </c>
    </row>
    <row r="1440">
      <c r="A1440" s="4" t="s">
        <v>2878</v>
      </c>
      <c r="B1440" s="4" t="s">
        <v>2879</v>
      </c>
    </row>
    <row r="1441">
      <c r="A1441" s="4" t="s">
        <v>2880</v>
      </c>
      <c r="B1441" s="4" t="s">
        <v>2881</v>
      </c>
    </row>
    <row r="1442">
      <c r="A1442" s="4" t="s">
        <v>2882</v>
      </c>
      <c r="B1442" s="4" t="s">
        <v>2883</v>
      </c>
    </row>
    <row r="1443">
      <c r="A1443" s="4" t="s">
        <v>2884</v>
      </c>
      <c r="B1443" s="4" t="s">
        <v>2885</v>
      </c>
    </row>
    <row r="1444">
      <c r="A1444" s="4" t="s">
        <v>2886</v>
      </c>
      <c r="B1444" s="4" t="s">
        <v>2887</v>
      </c>
    </row>
    <row r="1445">
      <c r="A1445" s="4" t="s">
        <v>2888</v>
      </c>
      <c r="B1445" s="4" t="s">
        <v>2889</v>
      </c>
    </row>
    <row r="1446">
      <c r="A1446" s="4" t="s">
        <v>2890</v>
      </c>
      <c r="B1446" s="4" t="s">
        <v>2891</v>
      </c>
    </row>
    <row r="1447">
      <c r="A1447" s="4" t="s">
        <v>2892</v>
      </c>
      <c r="B1447" s="4" t="s">
        <v>2893</v>
      </c>
    </row>
    <row r="1448">
      <c r="A1448" s="4" t="s">
        <v>2894</v>
      </c>
      <c r="B1448" s="4" t="s">
        <v>2895</v>
      </c>
    </row>
    <row r="1449">
      <c r="A1449" s="4" t="s">
        <v>2896</v>
      </c>
      <c r="B1449" s="4" t="s">
        <v>2897</v>
      </c>
    </row>
    <row r="1450">
      <c r="A1450" s="4" t="s">
        <v>2898</v>
      </c>
      <c r="B1450" s="4" t="s">
        <v>2899</v>
      </c>
    </row>
    <row r="1451">
      <c r="A1451" s="4" t="s">
        <v>2900</v>
      </c>
      <c r="B1451" s="4" t="s">
        <v>2901</v>
      </c>
    </row>
    <row r="1452">
      <c r="A1452" s="4" t="s">
        <v>2902</v>
      </c>
      <c r="B1452" s="4" t="s">
        <v>2903</v>
      </c>
    </row>
    <row r="1453">
      <c r="A1453" s="4" t="s">
        <v>2904</v>
      </c>
      <c r="B1453" s="4" t="s">
        <v>2905</v>
      </c>
    </row>
    <row r="1454">
      <c r="A1454" s="4" t="s">
        <v>2906</v>
      </c>
      <c r="B1454" s="4" t="s">
        <v>2907</v>
      </c>
    </row>
    <row r="1455">
      <c r="A1455" s="4" t="s">
        <v>2908</v>
      </c>
      <c r="B1455" s="4" t="s">
        <v>2909</v>
      </c>
    </row>
    <row r="1456">
      <c r="A1456" s="4" t="s">
        <v>2910</v>
      </c>
      <c r="B1456" s="4" t="s">
        <v>2911</v>
      </c>
    </row>
    <row r="1457">
      <c r="A1457" s="4" t="s">
        <v>2912</v>
      </c>
      <c r="B1457" s="4" t="s">
        <v>2913</v>
      </c>
    </row>
    <row r="1458">
      <c r="A1458" s="4" t="s">
        <v>2914</v>
      </c>
      <c r="B1458" s="4" t="s">
        <v>2915</v>
      </c>
    </row>
    <row r="1459">
      <c r="A1459" s="4" t="s">
        <v>2916</v>
      </c>
      <c r="B1459" s="4" t="s">
        <v>2917</v>
      </c>
    </row>
    <row r="1460">
      <c r="A1460" s="4" t="s">
        <v>2918</v>
      </c>
      <c r="B1460" s="4" t="s">
        <v>2919</v>
      </c>
    </row>
    <row r="1461">
      <c r="A1461" s="4" t="s">
        <v>2920</v>
      </c>
      <c r="B1461" s="4" t="s">
        <v>2921</v>
      </c>
    </row>
    <row r="1462">
      <c r="A1462" s="4" t="s">
        <v>2922</v>
      </c>
      <c r="B1462" s="4" t="s">
        <v>2923</v>
      </c>
    </row>
    <row r="1463">
      <c r="A1463" s="4" t="s">
        <v>2924</v>
      </c>
      <c r="B1463" s="4" t="s">
        <v>2925</v>
      </c>
    </row>
    <row r="1464">
      <c r="A1464" s="4" t="s">
        <v>2926</v>
      </c>
      <c r="B1464" s="4" t="s">
        <v>2927</v>
      </c>
    </row>
    <row r="1465">
      <c r="A1465" s="4" t="s">
        <v>2928</v>
      </c>
      <c r="B1465" s="4" t="s">
        <v>2929</v>
      </c>
    </row>
    <row r="1466">
      <c r="A1466" s="4" t="s">
        <v>2930</v>
      </c>
      <c r="B1466" s="4" t="s">
        <v>2931</v>
      </c>
    </row>
    <row r="1467">
      <c r="A1467" s="4" t="s">
        <v>2932</v>
      </c>
      <c r="B1467" s="4" t="s">
        <v>2933</v>
      </c>
    </row>
    <row r="1468">
      <c r="A1468" s="4" t="s">
        <v>2934</v>
      </c>
      <c r="B1468" s="4" t="s">
        <v>2935</v>
      </c>
    </row>
    <row r="1469">
      <c r="A1469" s="4" t="s">
        <v>2936</v>
      </c>
      <c r="B1469" s="4" t="s">
        <v>2937</v>
      </c>
    </row>
    <row r="1470">
      <c r="A1470" s="4" t="s">
        <v>2938</v>
      </c>
      <c r="B1470" s="4" t="s">
        <v>2939</v>
      </c>
    </row>
    <row r="1471">
      <c r="A1471" s="4" t="s">
        <v>2940</v>
      </c>
      <c r="B1471" s="4" t="s">
        <v>2941</v>
      </c>
    </row>
    <row r="1472">
      <c r="A1472" s="4" t="s">
        <v>2942</v>
      </c>
      <c r="B1472" s="4" t="s">
        <v>2943</v>
      </c>
    </row>
    <row r="1473">
      <c r="A1473" s="4" t="s">
        <v>2944</v>
      </c>
      <c r="B1473" s="4" t="s">
        <v>2945</v>
      </c>
    </row>
    <row r="1474">
      <c r="A1474" s="4" t="s">
        <v>2946</v>
      </c>
      <c r="B1474" s="4" t="s">
        <v>2947</v>
      </c>
    </row>
    <row r="1475">
      <c r="A1475" s="4" t="s">
        <v>2948</v>
      </c>
      <c r="B1475" s="4" t="s">
        <v>2949</v>
      </c>
    </row>
    <row r="1476">
      <c r="A1476" s="4" t="s">
        <v>2950</v>
      </c>
      <c r="B1476" s="4" t="s">
        <v>2951</v>
      </c>
    </row>
    <row r="1477">
      <c r="A1477" s="4" t="s">
        <v>2952</v>
      </c>
      <c r="B1477" s="4" t="s">
        <v>2953</v>
      </c>
    </row>
    <row r="1478">
      <c r="A1478" s="4" t="s">
        <v>2954</v>
      </c>
      <c r="B1478" s="4" t="s">
        <v>2955</v>
      </c>
    </row>
    <row r="1479">
      <c r="A1479" s="4" t="s">
        <v>2956</v>
      </c>
      <c r="B1479" s="4" t="s">
        <v>2957</v>
      </c>
    </row>
    <row r="1480">
      <c r="A1480" s="4" t="s">
        <v>2958</v>
      </c>
      <c r="B1480" s="4" t="s">
        <v>2959</v>
      </c>
    </row>
    <row r="1481">
      <c r="A1481" s="4" t="s">
        <v>2960</v>
      </c>
      <c r="B1481" s="4" t="s">
        <v>2961</v>
      </c>
    </row>
    <row r="1482">
      <c r="A1482" s="4" t="s">
        <v>2962</v>
      </c>
      <c r="B1482" s="4" t="s">
        <v>2963</v>
      </c>
    </row>
    <row r="1483">
      <c r="A1483" s="4" t="s">
        <v>2964</v>
      </c>
      <c r="B1483" s="4" t="s">
        <v>2965</v>
      </c>
    </row>
    <row r="1484">
      <c r="A1484" s="4" t="s">
        <v>2966</v>
      </c>
      <c r="B1484" s="4" t="s">
        <v>2967</v>
      </c>
    </row>
    <row r="1485">
      <c r="A1485" s="4" t="s">
        <v>2968</v>
      </c>
      <c r="B1485" s="4" t="s">
        <v>2969</v>
      </c>
    </row>
    <row r="1486">
      <c r="A1486" s="4" t="s">
        <v>2970</v>
      </c>
      <c r="B1486" s="4" t="s">
        <v>2971</v>
      </c>
    </row>
    <row r="1487">
      <c r="A1487" s="4" t="s">
        <v>2972</v>
      </c>
      <c r="B1487" s="4" t="s">
        <v>2973</v>
      </c>
    </row>
    <row r="1488">
      <c r="A1488" s="4" t="s">
        <v>2974</v>
      </c>
      <c r="B1488" s="4" t="s">
        <v>2975</v>
      </c>
    </row>
    <row r="1489">
      <c r="A1489" s="4" t="s">
        <v>2976</v>
      </c>
      <c r="B1489" s="4" t="s">
        <v>2977</v>
      </c>
    </row>
    <row r="1490">
      <c r="A1490" s="4" t="s">
        <v>2978</v>
      </c>
      <c r="B1490" s="4" t="s">
        <v>2979</v>
      </c>
    </row>
    <row r="1491">
      <c r="A1491" s="4" t="s">
        <v>2980</v>
      </c>
      <c r="B1491" s="4" t="s">
        <v>2981</v>
      </c>
    </row>
    <row r="1492">
      <c r="A1492" s="4" t="s">
        <v>2982</v>
      </c>
      <c r="B1492" s="4" t="s">
        <v>2983</v>
      </c>
    </row>
    <row r="1493">
      <c r="A1493" s="4" t="s">
        <v>2984</v>
      </c>
      <c r="B1493" s="4" t="s">
        <v>2985</v>
      </c>
    </row>
    <row r="1494">
      <c r="A1494" s="4" t="s">
        <v>2986</v>
      </c>
      <c r="B1494" s="4" t="s">
        <v>2987</v>
      </c>
    </row>
    <row r="1495">
      <c r="A1495" s="4" t="s">
        <v>2988</v>
      </c>
      <c r="B1495" s="4" t="s">
        <v>2989</v>
      </c>
    </row>
    <row r="1496">
      <c r="A1496" s="4" t="s">
        <v>2990</v>
      </c>
      <c r="B1496" s="4" t="s">
        <v>2991</v>
      </c>
    </row>
    <row r="1497">
      <c r="A1497" s="4" t="s">
        <v>2992</v>
      </c>
      <c r="B1497" s="4" t="s">
        <v>2993</v>
      </c>
    </row>
    <row r="1498">
      <c r="A1498" s="4" t="s">
        <v>2994</v>
      </c>
      <c r="B1498" s="4" t="s">
        <v>2995</v>
      </c>
    </row>
    <row r="1499">
      <c r="A1499" s="4" t="s">
        <v>2996</v>
      </c>
      <c r="B1499" s="4" t="s">
        <v>2997</v>
      </c>
    </row>
    <row r="1500">
      <c r="A1500" s="4" t="s">
        <v>2998</v>
      </c>
      <c r="B1500" s="4" t="s">
        <v>2999</v>
      </c>
    </row>
    <row r="1501">
      <c r="A1501" s="4" t="s">
        <v>3000</v>
      </c>
      <c r="B1501" s="4" t="s">
        <v>3001</v>
      </c>
    </row>
    <row r="1502">
      <c r="A1502" s="4" t="s">
        <v>3002</v>
      </c>
      <c r="B1502" s="4" t="s">
        <v>3003</v>
      </c>
    </row>
    <row r="1503">
      <c r="A1503" s="4" t="s">
        <v>3004</v>
      </c>
      <c r="B1503" s="4" t="s">
        <v>3005</v>
      </c>
    </row>
    <row r="1504">
      <c r="A1504" s="4" t="s">
        <v>3006</v>
      </c>
      <c r="B1504" s="4" t="s">
        <v>3007</v>
      </c>
    </row>
    <row r="1505">
      <c r="A1505" s="4" t="s">
        <v>3008</v>
      </c>
      <c r="B1505" s="4" t="s">
        <v>3009</v>
      </c>
    </row>
    <row r="1506">
      <c r="A1506" s="4" t="s">
        <v>3010</v>
      </c>
      <c r="B1506" s="4" t="s">
        <v>3011</v>
      </c>
    </row>
    <row r="1507">
      <c r="A1507" s="4" t="s">
        <v>3012</v>
      </c>
      <c r="B1507" s="4" t="s">
        <v>3013</v>
      </c>
    </row>
    <row r="1508">
      <c r="A1508" s="4" t="s">
        <v>3014</v>
      </c>
      <c r="B1508" s="4" t="s">
        <v>3015</v>
      </c>
    </row>
    <row r="1509">
      <c r="A1509" s="4" t="s">
        <v>3016</v>
      </c>
      <c r="B1509" s="4" t="s">
        <v>3017</v>
      </c>
    </row>
    <row r="1510">
      <c r="A1510" s="4" t="s">
        <v>3018</v>
      </c>
      <c r="B1510" s="4" t="s">
        <v>3019</v>
      </c>
    </row>
    <row r="1511">
      <c r="A1511" s="4" t="s">
        <v>3020</v>
      </c>
      <c r="B1511" s="4" t="s">
        <v>3021</v>
      </c>
    </row>
    <row r="1512">
      <c r="A1512" s="4" t="s">
        <v>3022</v>
      </c>
      <c r="B1512" s="4" t="s">
        <v>3023</v>
      </c>
    </row>
    <row r="1513">
      <c r="A1513" s="4" t="s">
        <v>3024</v>
      </c>
      <c r="B1513" s="4" t="s">
        <v>3025</v>
      </c>
    </row>
    <row r="1514">
      <c r="A1514" s="4" t="s">
        <v>3026</v>
      </c>
      <c r="B1514" s="4" t="s">
        <v>3027</v>
      </c>
    </row>
    <row r="1515">
      <c r="A1515" s="4" t="s">
        <v>3028</v>
      </c>
      <c r="B1515" s="4" t="s">
        <v>3029</v>
      </c>
    </row>
    <row r="1516">
      <c r="A1516" s="4" t="s">
        <v>3030</v>
      </c>
      <c r="B1516" s="4" t="s">
        <v>3031</v>
      </c>
    </row>
    <row r="1517">
      <c r="A1517" s="4" t="s">
        <v>3032</v>
      </c>
      <c r="B1517" s="4" t="s">
        <v>3033</v>
      </c>
    </row>
    <row r="1518">
      <c r="A1518" s="4" t="s">
        <v>3034</v>
      </c>
      <c r="B1518" s="4" t="s">
        <v>3035</v>
      </c>
    </row>
    <row r="1519">
      <c r="A1519" s="4" t="s">
        <v>3036</v>
      </c>
      <c r="B1519" s="4" t="s">
        <v>3037</v>
      </c>
    </row>
    <row r="1520">
      <c r="A1520" s="4" t="s">
        <v>3038</v>
      </c>
      <c r="B1520" s="4" t="s">
        <v>3039</v>
      </c>
    </row>
    <row r="1521">
      <c r="A1521" s="4" t="s">
        <v>3040</v>
      </c>
      <c r="B1521" s="4" t="s">
        <v>3041</v>
      </c>
    </row>
    <row r="1522">
      <c r="A1522" s="4" t="s">
        <v>3042</v>
      </c>
      <c r="B1522" s="4" t="s">
        <v>3043</v>
      </c>
    </row>
    <row r="1523">
      <c r="A1523" s="4" t="s">
        <v>3044</v>
      </c>
      <c r="B1523" s="4" t="s">
        <v>3045</v>
      </c>
    </row>
    <row r="1524">
      <c r="A1524" s="4" t="s">
        <v>3046</v>
      </c>
      <c r="B1524" s="4" t="s">
        <v>3047</v>
      </c>
    </row>
    <row r="1525">
      <c r="A1525" s="4" t="s">
        <v>3048</v>
      </c>
      <c r="B1525" s="4" t="s">
        <v>3049</v>
      </c>
    </row>
    <row r="1526">
      <c r="A1526" s="4" t="s">
        <v>3050</v>
      </c>
      <c r="B1526" s="4" t="s">
        <v>3051</v>
      </c>
    </row>
    <row r="1527">
      <c r="A1527" s="4" t="s">
        <v>3052</v>
      </c>
      <c r="B1527" s="4" t="s">
        <v>3053</v>
      </c>
    </row>
    <row r="1528">
      <c r="A1528" s="4" t="s">
        <v>3054</v>
      </c>
      <c r="B1528" s="4" t="s">
        <v>3055</v>
      </c>
    </row>
    <row r="1529">
      <c r="A1529" s="4" t="s">
        <v>3056</v>
      </c>
      <c r="B1529" s="4" t="s">
        <v>3057</v>
      </c>
    </row>
    <row r="1530">
      <c r="A1530" s="4" t="s">
        <v>3058</v>
      </c>
      <c r="B1530" s="4" t="s">
        <v>3059</v>
      </c>
    </row>
    <row r="1531">
      <c r="A1531" s="4" t="s">
        <v>3060</v>
      </c>
      <c r="B1531" s="4" t="s">
        <v>3061</v>
      </c>
    </row>
    <row r="1532">
      <c r="A1532" s="4" t="s">
        <v>3062</v>
      </c>
      <c r="B1532" s="4" t="s">
        <v>3063</v>
      </c>
    </row>
    <row r="1533">
      <c r="A1533" s="4" t="s">
        <v>3064</v>
      </c>
      <c r="B1533" s="4" t="s">
        <v>3065</v>
      </c>
    </row>
    <row r="1534">
      <c r="A1534" s="4" t="s">
        <v>3066</v>
      </c>
      <c r="B1534" s="4" t="s">
        <v>3067</v>
      </c>
    </row>
    <row r="1535">
      <c r="A1535" s="4" t="s">
        <v>3068</v>
      </c>
      <c r="B1535" s="4" t="s">
        <v>3069</v>
      </c>
    </row>
    <row r="1536">
      <c r="A1536" s="4" t="s">
        <v>3070</v>
      </c>
      <c r="B1536" s="4" t="s">
        <v>3071</v>
      </c>
    </row>
    <row r="1537">
      <c r="A1537" s="4" t="s">
        <v>3072</v>
      </c>
      <c r="B1537" s="4" t="s">
        <v>3073</v>
      </c>
    </row>
    <row r="1538">
      <c r="A1538" s="4" t="s">
        <v>3074</v>
      </c>
      <c r="B1538" s="4" t="s">
        <v>3075</v>
      </c>
    </row>
    <row r="1539">
      <c r="A1539" s="4" t="s">
        <v>3076</v>
      </c>
      <c r="B1539" s="4" t="s">
        <v>3077</v>
      </c>
    </row>
    <row r="1540">
      <c r="A1540" s="4" t="s">
        <v>3078</v>
      </c>
      <c r="B1540" s="4" t="s">
        <v>3079</v>
      </c>
    </row>
    <row r="1541">
      <c r="A1541" s="4" t="s">
        <v>3080</v>
      </c>
      <c r="B1541" s="4" t="s">
        <v>3081</v>
      </c>
    </row>
    <row r="1542">
      <c r="A1542" s="4" t="s">
        <v>3082</v>
      </c>
      <c r="B1542" s="4" t="s">
        <v>3083</v>
      </c>
    </row>
    <row r="1543">
      <c r="A1543" s="4" t="s">
        <v>3084</v>
      </c>
      <c r="B1543" s="4" t="s">
        <v>3085</v>
      </c>
    </row>
    <row r="1544">
      <c r="A1544" s="4" t="s">
        <v>3086</v>
      </c>
      <c r="B1544" s="4" t="s">
        <v>3087</v>
      </c>
    </row>
    <row r="1545">
      <c r="A1545" s="4" t="s">
        <v>3088</v>
      </c>
      <c r="B1545" s="4" t="s">
        <v>3089</v>
      </c>
    </row>
    <row r="1546">
      <c r="A1546" s="4" t="s">
        <v>3090</v>
      </c>
      <c r="B1546" s="4" t="s">
        <v>3091</v>
      </c>
    </row>
    <row r="1547">
      <c r="A1547" s="4" t="s">
        <v>3092</v>
      </c>
      <c r="B1547" s="4" t="s">
        <v>3093</v>
      </c>
    </row>
    <row r="1548">
      <c r="A1548" s="4" t="s">
        <v>3094</v>
      </c>
      <c r="B1548" s="4" t="s">
        <v>3095</v>
      </c>
    </row>
    <row r="1549">
      <c r="A1549" s="4" t="s">
        <v>3096</v>
      </c>
      <c r="B1549" s="4" t="s">
        <v>3097</v>
      </c>
    </row>
    <row r="1550">
      <c r="A1550" s="4" t="s">
        <v>3098</v>
      </c>
      <c r="B1550" s="4" t="s">
        <v>3099</v>
      </c>
    </row>
    <row r="1551">
      <c r="A1551" s="4" t="s">
        <v>3100</v>
      </c>
      <c r="B1551" s="4" t="s">
        <v>3101</v>
      </c>
    </row>
    <row r="1552">
      <c r="A1552" s="4" t="s">
        <v>3102</v>
      </c>
      <c r="B1552" s="4" t="s">
        <v>3103</v>
      </c>
    </row>
    <row r="1553">
      <c r="A1553" s="4" t="s">
        <v>3104</v>
      </c>
      <c r="B1553" s="4" t="s">
        <v>3105</v>
      </c>
    </row>
    <row r="1554">
      <c r="A1554" s="4" t="s">
        <v>3106</v>
      </c>
      <c r="B1554" s="4" t="s">
        <v>3107</v>
      </c>
    </row>
    <row r="1555">
      <c r="A1555" s="4" t="s">
        <v>3108</v>
      </c>
      <c r="B1555" s="4" t="s">
        <v>3109</v>
      </c>
    </row>
    <row r="1556">
      <c r="A1556" s="4" t="s">
        <v>3110</v>
      </c>
      <c r="B1556" s="4" t="s">
        <v>3111</v>
      </c>
    </row>
    <row r="1557">
      <c r="A1557" s="4" t="s">
        <v>3112</v>
      </c>
      <c r="B1557" s="4" t="s">
        <v>3113</v>
      </c>
    </row>
    <row r="1558">
      <c r="A1558" s="4" t="s">
        <v>3114</v>
      </c>
      <c r="B1558" s="4" t="s">
        <v>3115</v>
      </c>
    </row>
    <row r="1559">
      <c r="A1559" s="4" t="s">
        <v>3116</v>
      </c>
      <c r="B1559" s="4" t="s">
        <v>3117</v>
      </c>
    </row>
    <row r="1560">
      <c r="A1560" s="4" t="s">
        <v>3118</v>
      </c>
      <c r="B1560" s="4" t="s">
        <v>3119</v>
      </c>
    </row>
    <row r="1561">
      <c r="A1561" s="4" t="s">
        <v>3120</v>
      </c>
      <c r="B1561" s="4" t="s">
        <v>3121</v>
      </c>
    </row>
    <row r="1562">
      <c r="A1562" s="4" t="s">
        <v>3122</v>
      </c>
      <c r="B1562" s="4" t="s">
        <v>3123</v>
      </c>
    </row>
    <row r="1563">
      <c r="A1563" s="4" t="s">
        <v>3124</v>
      </c>
      <c r="B1563" s="4" t="s">
        <v>3125</v>
      </c>
    </row>
    <row r="1564">
      <c r="A1564" s="4" t="s">
        <v>3126</v>
      </c>
      <c r="B1564" s="4" t="s">
        <v>3127</v>
      </c>
    </row>
    <row r="1565">
      <c r="A1565" s="4" t="s">
        <v>3128</v>
      </c>
      <c r="B1565" s="4" t="s">
        <v>3129</v>
      </c>
    </row>
    <row r="1566">
      <c r="A1566" s="4" t="s">
        <v>3130</v>
      </c>
      <c r="B1566" s="4" t="s">
        <v>3131</v>
      </c>
    </row>
    <row r="1567">
      <c r="A1567" s="4" t="s">
        <v>3132</v>
      </c>
      <c r="B1567" s="4" t="s">
        <v>3133</v>
      </c>
    </row>
    <row r="1568">
      <c r="A1568" s="4" t="s">
        <v>3134</v>
      </c>
      <c r="B1568" s="4" t="s">
        <v>3135</v>
      </c>
    </row>
    <row r="1569">
      <c r="A1569" s="4" t="s">
        <v>3136</v>
      </c>
      <c r="B1569" s="4" t="s">
        <v>3137</v>
      </c>
    </row>
    <row r="1570">
      <c r="A1570" s="4" t="s">
        <v>3138</v>
      </c>
      <c r="B1570" s="4" t="s">
        <v>3139</v>
      </c>
    </row>
    <row r="1571">
      <c r="A1571" s="4" t="s">
        <v>3140</v>
      </c>
      <c r="B1571" s="4" t="s">
        <v>3141</v>
      </c>
    </row>
    <row r="1572">
      <c r="A1572" s="4" t="s">
        <v>3142</v>
      </c>
      <c r="B1572" s="4" t="s">
        <v>3143</v>
      </c>
    </row>
    <row r="1573">
      <c r="A1573" s="4" t="s">
        <v>3144</v>
      </c>
      <c r="B1573" s="4" t="s">
        <v>3145</v>
      </c>
    </row>
    <row r="1574">
      <c r="A1574" s="4" t="s">
        <v>3146</v>
      </c>
      <c r="B1574" s="4" t="s">
        <v>3147</v>
      </c>
    </row>
    <row r="1575">
      <c r="A1575" s="4" t="s">
        <v>3148</v>
      </c>
      <c r="B1575" s="4" t="s">
        <v>3149</v>
      </c>
    </row>
    <row r="1576">
      <c r="A1576" s="4" t="s">
        <v>3150</v>
      </c>
      <c r="B1576" s="4" t="s">
        <v>3151</v>
      </c>
    </row>
    <row r="1577">
      <c r="A1577" s="4" t="s">
        <v>3152</v>
      </c>
      <c r="B1577" s="4" t="s">
        <v>3153</v>
      </c>
    </row>
    <row r="1578">
      <c r="A1578" s="4" t="s">
        <v>3154</v>
      </c>
      <c r="B1578" s="4" t="s">
        <v>3155</v>
      </c>
    </row>
    <row r="1579">
      <c r="A1579" s="4" t="s">
        <v>3156</v>
      </c>
      <c r="B1579" s="4" t="s">
        <v>3157</v>
      </c>
    </row>
    <row r="1580">
      <c r="A1580" s="4" t="s">
        <v>3158</v>
      </c>
      <c r="B1580" s="4" t="s">
        <v>3159</v>
      </c>
    </row>
    <row r="1581">
      <c r="A1581" s="4" t="s">
        <v>3160</v>
      </c>
      <c r="B1581" s="4" t="s">
        <v>3161</v>
      </c>
    </row>
    <row r="1582">
      <c r="A1582" s="4" t="s">
        <v>3162</v>
      </c>
      <c r="B1582" s="4" t="s">
        <v>3163</v>
      </c>
    </row>
    <row r="1583">
      <c r="A1583" s="4" t="s">
        <v>3164</v>
      </c>
      <c r="B1583" s="4" t="s">
        <v>3165</v>
      </c>
    </row>
    <row r="1584">
      <c r="A1584" s="4" t="s">
        <v>3166</v>
      </c>
      <c r="B1584" s="4" t="s">
        <v>3167</v>
      </c>
    </row>
    <row r="1585">
      <c r="A1585" s="4" t="s">
        <v>3168</v>
      </c>
      <c r="B1585" s="4" t="s">
        <v>3169</v>
      </c>
    </row>
    <row r="1586">
      <c r="A1586" s="4" t="s">
        <v>3170</v>
      </c>
      <c r="B1586" s="4" t="s">
        <v>3171</v>
      </c>
    </row>
    <row r="1587">
      <c r="A1587" s="4" t="s">
        <v>3172</v>
      </c>
      <c r="B1587" s="4" t="s">
        <v>3173</v>
      </c>
    </row>
    <row r="1588">
      <c r="A1588" s="4" t="s">
        <v>3174</v>
      </c>
      <c r="B1588" s="4" t="s">
        <v>3175</v>
      </c>
    </row>
    <row r="1589">
      <c r="A1589" s="4" t="s">
        <v>3176</v>
      </c>
      <c r="B1589" s="4" t="s">
        <v>3177</v>
      </c>
    </row>
    <row r="1590">
      <c r="A1590" s="4" t="s">
        <v>3178</v>
      </c>
      <c r="B1590" s="4" t="s">
        <v>3179</v>
      </c>
    </row>
    <row r="1591">
      <c r="A1591" s="4" t="s">
        <v>3180</v>
      </c>
      <c r="B1591" s="4" t="s">
        <v>3181</v>
      </c>
    </row>
    <row r="1592">
      <c r="A1592" s="4" t="s">
        <v>3182</v>
      </c>
      <c r="B1592" s="4" t="s">
        <v>3183</v>
      </c>
    </row>
    <row r="1593">
      <c r="A1593" s="4" t="s">
        <v>3184</v>
      </c>
      <c r="B1593" s="4" t="s">
        <v>3185</v>
      </c>
    </row>
    <row r="1594">
      <c r="A1594" s="4" t="s">
        <v>3186</v>
      </c>
      <c r="B1594" s="4" t="s">
        <v>3187</v>
      </c>
    </row>
    <row r="1595">
      <c r="A1595" s="4" t="s">
        <v>3188</v>
      </c>
      <c r="B1595" s="4" t="s">
        <v>3189</v>
      </c>
    </row>
    <row r="1596">
      <c r="A1596" s="4" t="s">
        <v>3190</v>
      </c>
      <c r="B1596" s="4" t="s">
        <v>3191</v>
      </c>
    </row>
    <row r="1597">
      <c r="A1597" s="4" t="s">
        <v>3192</v>
      </c>
      <c r="B1597" s="4" t="s">
        <v>3193</v>
      </c>
    </row>
    <row r="1598">
      <c r="A1598" s="4" t="s">
        <v>3194</v>
      </c>
      <c r="B1598" s="4" t="s">
        <v>3195</v>
      </c>
    </row>
    <row r="1599">
      <c r="A1599" s="4" t="s">
        <v>3196</v>
      </c>
      <c r="B1599" s="4" t="s">
        <v>3197</v>
      </c>
    </row>
    <row r="1600">
      <c r="A1600" s="4" t="s">
        <v>3198</v>
      </c>
      <c r="B1600" s="4" t="s">
        <v>3199</v>
      </c>
    </row>
    <row r="1601">
      <c r="A1601" s="4" t="s">
        <v>3200</v>
      </c>
      <c r="B1601" s="4" t="s">
        <v>3201</v>
      </c>
    </row>
    <row r="1602">
      <c r="A1602" s="4" t="s">
        <v>3202</v>
      </c>
      <c r="B1602" s="4" t="s">
        <v>3203</v>
      </c>
    </row>
    <row r="1603">
      <c r="A1603" s="4" t="s">
        <v>3204</v>
      </c>
      <c r="B1603" s="4" t="s">
        <v>3205</v>
      </c>
    </row>
    <row r="1604">
      <c r="A1604" s="4" t="s">
        <v>3206</v>
      </c>
      <c r="B1604" s="4" t="s">
        <v>3207</v>
      </c>
    </row>
    <row r="1605">
      <c r="A1605" s="4" t="s">
        <v>3208</v>
      </c>
      <c r="B1605" s="4" t="s">
        <v>3209</v>
      </c>
    </row>
    <row r="1606">
      <c r="A1606" s="4" t="s">
        <v>3210</v>
      </c>
      <c r="B1606" s="4" t="s">
        <v>3211</v>
      </c>
    </row>
    <row r="1607">
      <c r="A1607" s="4" t="s">
        <v>3212</v>
      </c>
      <c r="B1607" s="4" t="s">
        <v>3213</v>
      </c>
    </row>
    <row r="1608">
      <c r="A1608" s="4" t="s">
        <v>3214</v>
      </c>
      <c r="B1608" s="4" t="s">
        <v>3215</v>
      </c>
    </row>
    <row r="1609">
      <c r="A1609" s="4" t="s">
        <v>3216</v>
      </c>
      <c r="B1609" s="4" t="s">
        <v>3217</v>
      </c>
    </row>
    <row r="1610">
      <c r="A1610" s="4" t="s">
        <v>3218</v>
      </c>
      <c r="B1610" s="4" t="s">
        <v>3219</v>
      </c>
    </row>
    <row r="1611">
      <c r="A1611" s="4" t="s">
        <v>3220</v>
      </c>
      <c r="B1611" s="4" t="s">
        <v>3221</v>
      </c>
    </row>
    <row r="1612">
      <c r="A1612" s="4" t="s">
        <v>3222</v>
      </c>
      <c r="B1612" s="4" t="s">
        <v>3223</v>
      </c>
    </row>
    <row r="1613">
      <c r="A1613" s="4" t="s">
        <v>3224</v>
      </c>
      <c r="B1613" s="4" t="s">
        <v>3225</v>
      </c>
    </row>
    <row r="1614">
      <c r="A1614" s="4" t="s">
        <v>3226</v>
      </c>
      <c r="B1614" s="4" t="s">
        <v>3227</v>
      </c>
    </row>
    <row r="1615">
      <c r="A1615" s="4" t="s">
        <v>3228</v>
      </c>
      <c r="B1615" s="4" t="s">
        <v>3229</v>
      </c>
    </row>
    <row r="1616">
      <c r="A1616" s="4" t="s">
        <v>3230</v>
      </c>
      <c r="B1616" s="4" t="s">
        <v>3231</v>
      </c>
    </row>
    <row r="1617">
      <c r="A1617" s="4" t="s">
        <v>3232</v>
      </c>
      <c r="B1617" s="4" t="s">
        <v>3233</v>
      </c>
    </row>
    <row r="1618">
      <c r="A1618" s="4" t="s">
        <v>3234</v>
      </c>
      <c r="B1618" s="4" t="s">
        <v>3235</v>
      </c>
    </row>
    <row r="1619">
      <c r="A1619" s="4" t="s">
        <v>3236</v>
      </c>
      <c r="B1619" s="4" t="s">
        <v>3237</v>
      </c>
    </row>
    <row r="1620">
      <c r="A1620" s="4" t="s">
        <v>3238</v>
      </c>
      <c r="B1620" s="4" t="s">
        <v>3239</v>
      </c>
    </row>
    <row r="1621">
      <c r="A1621" s="4" t="s">
        <v>3240</v>
      </c>
      <c r="B1621" s="4" t="s">
        <v>3241</v>
      </c>
    </row>
    <row r="1622">
      <c r="A1622" s="4" t="s">
        <v>3242</v>
      </c>
      <c r="B1622" s="4" t="s">
        <v>3243</v>
      </c>
    </row>
    <row r="1623">
      <c r="A1623" s="4" t="s">
        <v>3244</v>
      </c>
      <c r="B1623" s="4" t="s">
        <v>3245</v>
      </c>
    </row>
    <row r="1624">
      <c r="A1624" s="4" t="s">
        <v>3246</v>
      </c>
      <c r="B1624" s="4" t="s">
        <v>3247</v>
      </c>
    </row>
    <row r="1625">
      <c r="A1625" s="4" t="s">
        <v>3248</v>
      </c>
      <c r="B1625" s="4" t="s">
        <v>3249</v>
      </c>
    </row>
    <row r="1626">
      <c r="A1626" s="4" t="s">
        <v>3250</v>
      </c>
      <c r="B1626" s="4" t="s">
        <v>3251</v>
      </c>
    </row>
    <row r="1627">
      <c r="A1627" s="4" t="s">
        <v>3252</v>
      </c>
      <c r="B1627" s="4" t="s">
        <v>3253</v>
      </c>
    </row>
    <row r="1628">
      <c r="A1628" s="4" t="s">
        <v>3254</v>
      </c>
      <c r="B1628" s="4" t="s">
        <v>3255</v>
      </c>
    </row>
    <row r="1629">
      <c r="A1629" s="4" t="s">
        <v>3256</v>
      </c>
      <c r="B1629" s="4" t="s">
        <v>3257</v>
      </c>
    </row>
    <row r="1630">
      <c r="A1630" s="4" t="s">
        <v>3258</v>
      </c>
      <c r="B1630" s="4" t="s">
        <v>3259</v>
      </c>
    </row>
    <row r="1631">
      <c r="A1631" s="4" t="s">
        <v>3260</v>
      </c>
      <c r="B1631" s="4" t="s">
        <v>3261</v>
      </c>
    </row>
    <row r="1632">
      <c r="A1632" s="4" t="s">
        <v>3262</v>
      </c>
      <c r="B1632" s="4" t="s">
        <v>3263</v>
      </c>
    </row>
    <row r="1633">
      <c r="A1633" s="4" t="s">
        <v>3264</v>
      </c>
      <c r="B1633" s="4" t="s">
        <v>3265</v>
      </c>
    </row>
    <row r="1634">
      <c r="A1634" s="4" t="s">
        <v>3266</v>
      </c>
      <c r="B1634" s="4" t="s">
        <v>3267</v>
      </c>
    </row>
    <row r="1635">
      <c r="A1635" s="4" t="s">
        <v>3268</v>
      </c>
      <c r="B1635" s="4" t="s">
        <v>3269</v>
      </c>
    </row>
    <row r="1636">
      <c r="A1636" s="4" t="s">
        <v>3270</v>
      </c>
      <c r="B1636" s="4" t="s">
        <v>3271</v>
      </c>
    </row>
    <row r="1637">
      <c r="A1637" s="4" t="s">
        <v>3272</v>
      </c>
      <c r="B1637" s="4" t="s">
        <v>3273</v>
      </c>
    </row>
    <row r="1638">
      <c r="A1638" s="4" t="s">
        <v>3274</v>
      </c>
      <c r="B1638" s="4" t="s">
        <v>3275</v>
      </c>
    </row>
    <row r="1639">
      <c r="A1639" s="4" t="s">
        <v>3276</v>
      </c>
      <c r="B1639" s="4" t="s">
        <v>3277</v>
      </c>
    </row>
    <row r="1640">
      <c r="A1640" s="4" t="s">
        <v>3278</v>
      </c>
      <c r="B1640" s="4" t="s">
        <v>3279</v>
      </c>
    </row>
    <row r="1641">
      <c r="A1641" s="4" t="s">
        <v>3280</v>
      </c>
      <c r="B1641" s="4" t="s">
        <v>3281</v>
      </c>
    </row>
    <row r="1642">
      <c r="A1642" s="4" t="s">
        <v>3282</v>
      </c>
      <c r="B1642" s="4" t="s">
        <v>3283</v>
      </c>
    </row>
    <row r="1643">
      <c r="A1643" s="4" t="s">
        <v>3284</v>
      </c>
      <c r="B1643" s="4" t="s">
        <v>3285</v>
      </c>
    </row>
    <row r="1644">
      <c r="A1644" s="4" t="s">
        <v>3286</v>
      </c>
      <c r="B1644" s="4" t="s">
        <v>3287</v>
      </c>
    </row>
    <row r="1645">
      <c r="A1645" s="4" t="s">
        <v>3288</v>
      </c>
      <c r="B1645" s="4" t="s">
        <v>3289</v>
      </c>
    </row>
    <row r="1646">
      <c r="A1646" s="4" t="s">
        <v>3290</v>
      </c>
      <c r="B1646" s="4" t="s">
        <v>3291</v>
      </c>
    </row>
    <row r="1647">
      <c r="A1647" s="4" t="s">
        <v>3292</v>
      </c>
      <c r="B1647" s="4" t="s">
        <v>3293</v>
      </c>
    </row>
    <row r="1648">
      <c r="A1648" s="4" t="s">
        <v>3294</v>
      </c>
      <c r="B1648" s="4" t="s">
        <v>3295</v>
      </c>
    </row>
    <row r="1649">
      <c r="A1649" s="4" t="s">
        <v>3296</v>
      </c>
      <c r="B1649" s="4" t="s">
        <v>3297</v>
      </c>
    </row>
    <row r="1650">
      <c r="A1650" s="4" t="s">
        <v>3298</v>
      </c>
      <c r="B1650" s="4" t="s">
        <v>3299</v>
      </c>
    </row>
    <row r="1651">
      <c r="A1651" s="4" t="s">
        <v>3300</v>
      </c>
      <c r="B1651" s="4" t="s">
        <v>3301</v>
      </c>
    </row>
    <row r="1652">
      <c r="A1652" s="4" t="s">
        <v>3302</v>
      </c>
      <c r="B1652" s="4" t="s">
        <v>3303</v>
      </c>
    </row>
    <row r="1653">
      <c r="A1653" s="4" t="s">
        <v>3304</v>
      </c>
      <c r="B1653" s="4" t="s">
        <v>3305</v>
      </c>
    </row>
    <row r="1654">
      <c r="A1654" s="4" t="s">
        <v>3306</v>
      </c>
      <c r="B1654" s="4" t="s">
        <v>3307</v>
      </c>
    </row>
    <row r="1655">
      <c r="A1655" s="4" t="s">
        <v>3308</v>
      </c>
      <c r="B1655" s="4" t="s">
        <v>3309</v>
      </c>
    </row>
    <row r="1656">
      <c r="A1656" s="4" t="s">
        <v>3310</v>
      </c>
      <c r="B1656" s="4" t="s">
        <v>3311</v>
      </c>
    </row>
    <row r="1657">
      <c r="A1657" s="4" t="s">
        <v>3312</v>
      </c>
      <c r="B1657" s="4" t="s">
        <v>3313</v>
      </c>
    </row>
    <row r="1658">
      <c r="A1658" s="4" t="s">
        <v>3314</v>
      </c>
      <c r="B1658" s="4" t="s">
        <v>3315</v>
      </c>
    </row>
    <row r="1659">
      <c r="A1659" s="4" t="s">
        <v>3316</v>
      </c>
      <c r="B1659" s="4" t="s">
        <v>3317</v>
      </c>
    </row>
    <row r="1660">
      <c r="A1660" s="4" t="s">
        <v>3318</v>
      </c>
      <c r="B1660" s="4" t="s">
        <v>3319</v>
      </c>
    </row>
    <row r="1661">
      <c r="A1661" s="4" t="s">
        <v>3320</v>
      </c>
      <c r="B1661" s="4" t="s">
        <v>3321</v>
      </c>
    </row>
    <row r="1662">
      <c r="A1662" s="4" t="s">
        <v>3322</v>
      </c>
      <c r="B1662" s="4" t="s">
        <v>3323</v>
      </c>
    </row>
    <row r="1663">
      <c r="A1663" s="4" t="s">
        <v>3324</v>
      </c>
      <c r="B1663" s="4" t="s">
        <v>3325</v>
      </c>
    </row>
    <row r="1664">
      <c r="A1664" s="4" t="s">
        <v>3326</v>
      </c>
      <c r="B1664" s="4" t="s">
        <v>3327</v>
      </c>
    </row>
    <row r="1665">
      <c r="A1665" s="4" t="s">
        <v>3328</v>
      </c>
      <c r="B1665" s="4" t="s">
        <v>3329</v>
      </c>
    </row>
    <row r="1666">
      <c r="A1666" s="4" t="s">
        <v>3330</v>
      </c>
      <c r="B1666" s="4" t="s">
        <v>3331</v>
      </c>
    </row>
    <row r="1667">
      <c r="A1667" s="4" t="s">
        <v>3332</v>
      </c>
      <c r="B1667" s="4" t="s">
        <v>3333</v>
      </c>
    </row>
    <row r="1668">
      <c r="A1668" s="4" t="s">
        <v>3334</v>
      </c>
      <c r="B1668" s="4" t="s">
        <v>3335</v>
      </c>
    </row>
    <row r="1669">
      <c r="A1669" s="4" t="s">
        <v>3336</v>
      </c>
      <c r="B1669" s="4" t="s">
        <v>3337</v>
      </c>
    </row>
    <row r="1670">
      <c r="A1670" s="4" t="s">
        <v>3338</v>
      </c>
      <c r="B1670" s="4" t="s">
        <v>3339</v>
      </c>
    </row>
    <row r="1671">
      <c r="A1671" s="4" t="s">
        <v>3340</v>
      </c>
      <c r="B1671" s="4" t="s">
        <v>3341</v>
      </c>
    </row>
    <row r="1672">
      <c r="A1672" s="4" t="s">
        <v>3342</v>
      </c>
      <c r="B1672" s="4" t="s">
        <v>3343</v>
      </c>
    </row>
    <row r="1673">
      <c r="A1673" s="4" t="s">
        <v>3344</v>
      </c>
      <c r="B1673" s="4" t="s">
        <v>3345</v>
      </c>
    </row>
    <row r="1674">
      <c r="A1674" s="4" t="s">
        <v>3346</v>
      </c>
      <c r="B1674" s="4" t="s">
        <v>3347</v>
      </c>
    </row>
    <row r="1675">
      <c r="A1675" s="4" t="s">
        <v>3348</v>
      </c>
      <c r="B1675" s="4" t="s">
        <v>3349</v>
      </c>
    </row>
    <row r="1676">
      <c r="A1676" s="4" t="s">
        <v>3350</v>
      </c>
      <c r="B1676" s="4" t="s">
        <v>3351</v>
      </c>
    </row>
    <row r="1677">
      <c r="A1677" s="4" t="s">
        <v>3352</v>
      </c>
      <c r="B1677" s="4" t="s">
        <v>3353</v>
      </c>
    </row>
    <row r="1678">
      <c r="A1678" s="4" t="s">
        <v>3354</v>
      </c>
      <c r="B1678" s="4" t="s">
        <v>3355</v>
      </c>
    </row>
    <row r="1679">
      <c r="A1679" s="4" t="s">
        <v>3356</v>
      </c>
      <c r="B1679" s="4" t="s">
        <v>3357</v>
      </c>
    </row>
    <row r="1680">
      <c r="A1680" s="4" t="s">
        <v>3358</v>
      </c>
      <c r="B1680" s="4" t="s">
        <v>3359</v>
      </c>
    </row>
    <row r="1681">
      <c r="A1681" s="4" t="s">
        <v>3360</v>
      </c>
      <c r="B1681" s="4" t="s">
        <v>3361</v>
      </c>
    </row>
    <row r="1682">
      <c r="A1682" s="4" t="s">
        <v>3362</v>
      </c>
      <c r="B1682" s="4" t="s">
        <v>3363</v>
      </c>
    </row>
    <row r="1683">
      <c r="A1683" s="4" t="s">
        <v>3364</v>
      </c>
      <c r="B1683" s="4" t="s">
        <v>3365</v>
      </c>
    </row>
    <row r="1684">
      <c r="A1684" s="4" t="s">
        <v>3366</v>
      </c>
      <c r="B1684" s="4" t="s">
        <v>3367</v>
      </c>
    </row>
    <row r="1685">
      <c r="A1685" s="4" t="s">
        <v>3368</v>
      </c>
      <c r="B1685" s="4" t="s">
        <v>3369</v>
      </c>
    </row>
    <row r="1686">
      <c r="A1686" s="4" t="s">
        <v>3370</v>
      </c>
      <c r="B1686" s="4" t="s">
        <v>3371</v>
      </c>
    </row>
    <row r="1687">
      <c r="A1687" s="4" t="s">
        <v>3372</v>
      </c>
      <c r="B1687" s="4" t="s">
        <v>3373</v>
      </c>
    </row>
    <row r="1688">
      <c r="A1688" s="4" t="s">
        <v>3374</v>
      </c>
      <c r="B1688" s="4" t="s">
        <v>3375</v>
      </c>
    </row>
    <row r="1689">
      <c r="A1689" s="4" t="s">
        <v>3376</v>
      </c>
      <c r="B1689" s="4" t="s">
        <v>3377</v>
      </c>
    </row>
    <row r="1690">
      <c r="A1690" s="4" t="s">
        <v>3378</v>
      </c>
      <c r="B1690" s="4" t="s">
        <v>3379</v>
      </c>
    </row>
    <row r="1691">
      <c r="A1691" s="4" t="s">
        <v>3380</v>
      </c>
      <c r="B1691" s="4" t="s">
        <v>3381</v>
      </c>
    </row>
    <row r="1692">
      <c r="A1692" s="4" t="s">
        <v>3382</v>
      </c>
      <c r="B1692" s="4" t="s">
        <v>3383</v>
      </c>
    </row>
    <row r="1693">
      <c r="A1693" s="4" t="s">
        <v>3384</v>
      </c>
      <c r="B1693" s="4" t="s">
        <v>3385</v>
      </c>
    </row>
    <row r="1694">
      <c r="A1694" s="4" t="s">
        <v>3386</v>
      </c>
      <c r="B1694" s="4" t="s">
        <v>3387</v>
      </c>
    </row>
    <row r="1695">
      <c r="A1695" s="4" t="s">
        <v>3388</v>
      </c>
      <c r="B1695" s="4" t="s">
        <v>3389</v>
      </c>
    </row>
    <row r="1696">
      <c r="A1696" s="4" t="s">
        <v>3390</v>
      </c>
      <c r="B1696" s="4" t="s">
        <v>3391</v>
      </c>
    </row>
    <row r="1697">
      <c r="A1697" s="4" t="s">
        <v>3392</v>
      </c>
      <c r="B1697" s="4" t="s">
        <v>3393</v>
      </c>
    </row>
    <row r="1698">
      <c r="A1698" s="4" t="s">
        <v>3394</v>
      </c>
      <c r="B1698" s="4" t="s">
        <v>3395</v>
      </c>
    </row>
    <row r="1699">
      <c r="A1699" s="4" t="s">
        <v>3396</v>
      </c>
      <c r="B1699" s="4" t="s">
        <v>3397</v>
      </c>
    </row>
    <row r="1700">
      <c r="A1700" s="4" t="s">
        <v>3398</v>
      </c>
      <c r="B1700" s="4" t="s">
        <v>3399</v>
      </c>
    </row>
    <row r="1701">
      <c r="A1701" s="4" t="s">
        <v>3400</v>
      </c>
      <c r="B1701" s="4" t="s">
        <v>3401</v>
      </c>
    </row>
    <row r="1702">
      <c r="A1702" s="4" t="s">
        <v>3402</v>
      </c>
      <c r="B1702" s="4" t="s">
        <v>3403</v>
      </c>
    </row>
    <row r="1703">
      <c r="A1703" s="4" t="s">
        <v>3404</v>
      </c>
      <c r="B1703" s="4" t="s">
        <v>3405</v>
      </c>
    </row>
    <row r="1704">
      <c r="A1704" s="4" t="s">
        <v>3406</v>
      </c>
      <c r="B1704" s="4" t="s">
        <v>3407</v>
      </c>
    </row>
    <row r="1705">
      <c r="A1705" s="4" t="s">
        <v>3408</v>
      </c>
      <c r="B1705" s="4" t="s">
        <v>3409</v>
      </c>
    </row>
    <row r="1706">
      <c r="A1706" s="4" t="s">
        <v>3410</v>
      </c>
      <c r="B1706" s="4" t="s">
        <v>3411</v>
      </c>
    </row>
    <row r="1707">
      <c r="A1707" s="4" t="s">
        <v>3412</v>
      </c>
      <c r="B1707" s="4" t="s">
        <v>3413</v>
      </c>
    </row>
    <row r="1708">
      <c r="A1708" s="4" t="s">
        <v>3414</v>
      </c>
      <c r="B1708" s="4" t="s">
        <v>3415</v>
      </c>
    </row>
    <row r="1709">
      <c r="A1709" s="4" t="s">
        <v>3416</v>
      </c>
      <c r="B1709" s="4" t="s">
        <v>3417</v>
      </c>
    </row>
    <row r="1710">
      <c r="A1710" s="4" t="s">
        <v>3418</v>
      </c>
      <c r="B1710" s="4" t="s">
        <v>3419</v>
      </c>
    </row>
    <row r="1711">
      <c r="A1711" s="4" t="s">
        <v>3420</v>
      </c>
      <c r="B1711" s="4" t="s">
        <v>3421</v>
      </c>
    </row>
    <row r="1712">
      <c r="A1712" s="4" t="s">
        <v>3422</v>
      </c>
      <c r="B1712" s="4" t="s">
        <v>3423</v>
      </c>
    </row>
    <row r="1713">
      <c r="A1713" s="4" t="s">
        <v>3424</v>
      </c>
      <c r="B1713" s="4" t="s">
        <v>3425</v>
      </c>
    </row>
    <row r="1714">
      <c r="A1714" s="4" t="s">
        <v>3426</v>
      </c>
      <c r="B1714" s="4" t="s">
        <v>3427</v>
      </c>
    </row>
    <row r="1715">
      <c r="A1715" s="4" t="s">
        <v>3428</v>
      </c>
      <c r="B1715" s="4" t="s">
        <v>3429</v>
      </c>
    </row>
    <row r="1716">
      <c r="A1716" s="4" t="s">
        <v>3430</v>
      </c>
      <c r="B1716" s="4" t="s">
        <v>3431</v>
      </c>
    </row>
    <row r="1717">
      <c r="A1717" s="4" t="s">
        <v>3432</v>
      </c>
      <c r="B1717" s="4" t="s">
        <v>3433</v>
      </c>
    </row>
    <row r="1718">
      <c r="A1718" s="4" t="s">
        <v>3434</v>
      </c>
      <c r="B1718" s="4" t="s">
        <v>3435</v>
      </c>
    </row>
    <row r="1719">
      <c r="A1719" s="4" t="s">
        <v>3436</v>
      </c>
      <c r="B1719" s="4" t="s">
        <v>3437</v>
      </c>
    </row>
    <row r="1720">
      <c r="A1720" s="4" t="s">
        <v>3438</v>
      </c>
      <c r="B1720" s="4" t="s">
        <v>3439</v>
      </c>
    </row>
    <row r="1721">
      <c r="A1721" s="4" t="s">
        <v>3440</v>
      </c>
      <c r="B1721" s="4" t="s">
        <v>3441</v>
      </c>
    </row>
    <row r="1722">
      <c r="A1722" s="4" t="s">
        <v>3442</v>
      </c>
      <c r="B1722" s="4" t="s">
        <v>3443</v>
      </c>
    </row>
    <row r="1723">
      <c r="A1723" s="4" t="s">
        <v>3444</v>
      </c>
      <c r="B1723" s="4" t="s">
        <v>3445</v>
      </c>
    </row>
    <row r="1724">
      <c r="A1724" s="4" t="s">
        <v>3446</v>
      </c>
      <c r="B1724" s="4" t="s">
        <v>3447</v>
      </c>
    </row>
    <row r="1725">
      <c r="A1725" s="4" t="s">
        <v>3448</v>
      </c>
      <c r="B1725" s="4" t="s">
        <v>3449</v>
      </c>
    </row>
    <row r="1726">
      <c r="A1726" s="4" t="s">
        <v>3450</v>
      </c>
      <c r="B1726" s="4" t="s">
        <v>3451</v>
      </c>
    </row>
    <row r="1727">
      <c r="A1727" s="4" t="s">
        <v>3452</v>
      </c>
      <c r="B1727" s="4" t="s">
        <v>3453</v>
      </c>
    </row>
    <row r="1728">
      <c r="A1728" s="4" t="s">
        <v>3454</v>
      </c>
      <c r="B1728" s="4" t="s">
        <v>3455</v>
      </c>
    </row>
    <row r="1729">
      <c r="A1729" s="4" t="s">
        <v>3456</v>
      </c>
      <c r="B1729" s="4" t="s">
        <v>3457</v>
      </c>
    </row>
    <row r="1730">
      <c r="A1730" s="4" t="s">
        <v>3458</v>
      </c>
      <c r="B1730" s="4" t="s">
        <v>3459</v>
      </c>
    </row>
    <row r="1731">
      <c r="A1731" s="4" t="s">
        <v>3460</v>
      </c>
      <c r="B1731" s="4" t="s">
        <v>3461</v>
      </c>
    </row>
    <row r="1732">
      <c r="A1732" s="4" t="s">
        <v>3462</v>
      </c>
      <c r="B1732" s="4" t="s">
        <v>3463</v>
      </c>
    </row>
    <row r="1733">
      <c r="A1733" s="4" t="s">
        <v>3464</v>
      </c>
      <c r="B1733" s="4" t="s">
        <v>3465</v>
      </c>
    </row>
    <row r="1734">
      <c r="A1734" s="4" t="s">
        <v>3466</v>
      </c>
      <c r="B1734" s="4" t="s">
        <v>3467</v>
      </c>
    </row>
    <row r="1735">
      <c r="A1735" s="4" t="s">
        <v>3468</v>
      </c>
      <c r="B1735" s="4" t="s">
        <v>3469</v>
      </c>
    </row>
    <row r="1736">
      <c r="A1736" s="4" t="s">
        <v>3470</v>
      </c>
      <c r="B1736" s="4" t="s">
        <v>3471</v>
      </c>
    </row>
    <row r="1737">
      <c r="A1737" s="4" t="s">
        <v>3472</v>
      </c>
      <c r="B1737" s="4" t="s">
        <v>3473</v>
      </c>
    </row>
    <row r="1738">
      <c r="A1738" s="4" t="s">
        <v>3474</v>
      </c>
      <c r="B1738" s="4" t="s">
        <v>3475</v>
      </c>
    </row>
    <row r="1739">
      <c r="A1739" s="4" t="s">
        <v>3476</v>
      </c>
      <c r="B1739" s="4" t="s">
        <v>3477</v>
      </c>
    </row>
    <row r="1740">
      <c r="A1740" s="4" t="s">
        <v>3478</v>
      </c>
      <c r="B1740" s="4" t="s">
        <v>3479</v>
      </c>
    </row>
    <row r="1741">
      <c r="A1741" s="4" t="s">
        <v>3480</v>
      </c>
      <c r="B1741" s="4" t="s">
        <v>3481</v>
      </c>
    </row>
    <row r="1742">
      <c r="A1742" s="4" t="s">
        <v>3482</v>
      </c>
      <c r="B1742" s="4" t="s">
        <v>3483</v>
      </c>
    </row>
    <row r="1743">
      <c r="A1743" s="4" t="s">
        <v>3484</v>
      </c>
      <c r="B1743" s="4" t="s">
        <v>3485</v>
      </c>
    </row>
    <row r="1744">
      <c r="A1744" s="4" t="s">
        <v>3486</v>
      </c>
      <c r="B1744" s="4" t="s">
        <v>3487</v>
      </c>
    </row>
    <row r="1745">
      <c r="A1745" s="4" t="s">
        <v>3488</v>
      </c>
      <c r="B1745" s="4" t="s">
        <v>3489</v>
      </c>
    </row>
    <row r="1746">
      <c r="A1746" s="4" t="s">
        <v>3490</v>
      </c>
      <c r="B1746" s="4" t="s">
        <v>3491</v>
      </c>
    </row>
    <row r="1747">
      <c r="A1747" s="4" t="s">
        <v>3492</v>
      </c>
      <c r="B1747" s="4" t="s">
        <v>3493</v>
      </c>
    </row>
    <row r="1748">
      <c r="A1748" s="4" t="s">
        <v>3494</v>
      </c>
      <c r="B1748" s="4" t="s">
        <v>3495</v>
      </c>
    </row>
    <row r="1749">
      <c r="A1749" s="4" t="s">
        <v>3496</v>
      </c>
      <c r="B1749" s="4" t="s">
        <v>3497</v>
      </c>
    </row>
    <row r="1750">
      <c r="A1750" s="4" t="s">
        <v>3498</v>
      </c>
      <c r="B1750" s="4" t="s">
        <v>3499</v>
      </c>
    </row>
    <row r="1751">
      <c r="A1751" s="4" t="s">
        <v>3500</v>
      </c>
      <c r="B1751" s="4" t="s">
        <v>3501</v>
      </c>
    </row>
    <row r="1752">
      <c r="A1752" s="4" t="s">
        <v>3502</v>
      </c>
      <c r="B1752" s="4" t="s">
        <v>3503</v>
      </c>
    </row>
    <row r="1753">
      <c r="A1753" s="4" t="s">
        <v>3504</v>
      </c>
      <c r="B1753" s="4" t="s">
        <v>3505</v>
      </c>
    </row>
    <row r="1754">
      <c r="A1754" s="4" t="s">
        <v>3506</v>
      </c>
      <c r="B1754" s="4" t="s">
        <v>3507</v>
      </c>
    </row>
    <row r="1755">
      <c r="A1755" s="4" t="s">
        <v>3508</v>
      </c>
      <c r="B1755" s="4" t="s">
        <v>3509</v>
      </c>
    </row>
    <row r="1756">
      <c r="A1756" s="4" t="s">
        <v>3510</v>
      </c>
      <c r="B1756" s="4" t="s">
        <v>3511</v>
      </c>
    </row>
    <row r="1757">
      <c r="A1757" s="4" t="s">
        <v>3512</v>
      </c>
      <c r="B1757" s="4" t="s">
        <v>3513</v>
      </c>
    </row>
    <row r="1758">
      <c r="A1758" s="4" t="s">
        <v>3514</v>
      </c>
      <c r="B1758" s="4" t="s">
        <v>3515</v>
      </c>
    </row>
    <row r="1759">
      <c r="A1759" s="4" t="s">
        <v>3516</v>
      </c>
      <c r="B1759" s="4" t="s">
        <v>3517</v>
      </c>
    </row>
    <row r="1760">
      <c r="A1760" s="4" t="s">
        <v>3518</v>
      </c>
      <c r="B1760" s="4" t="s">
        <v>3519</v>
      </c>
    </row>
    <row r="1761">
      <c r="A1761" s="4" t="s">
        <v>3520</v>
      </c>
      <c r="B1761" s="4" t="s">
        <v>3521</v>
      </c>
    </row>
    <row r="1762">
      <c r="A1762" s="4" t="s">
        <v>3522</v>
      </c>
      <c r="B1762" s="4" t="s">
        <v>3523</v>
      </c>
    </row>
    <row r="1763">
      <c r="A1763" s="4" t="s">
        <v>3524</v>
      </c>
      <c r="B1763" s="4" t="s">
        <v>3525</v>
      </c>
    </row>
    <row r="1764">
      <c r="A1764" s="4" t="s">
        <v>3526</v>
      </c>
      <c r="B1764" s="4" t="s">
        <v>3527</v>
      </c>
    </row>
    <row r="1765">
      <c r="A1765" s="4" t="s">
        <v>3528</v>
      </c>
      <c r="B1765" s="4" t="s">
        <v>3529</v>
      </c>
    </row>
    <row r="1766">
      <c r="A1766" s="4" t="s">
        <v>3530</v>
      </c>
      <c r="B1766" s="4" t="s">
        <v>3531</v>
      </c>
    </row>
    <row r="1767">
      <c r="A1767" s="4" t="s">
        <v>3532</v>
      </c>
      <c r="B1767" s="4" t="s">
        <v>3533</v>
      </c>
    </row>
    <row r="1768">
      <c r="A1768" s="4" t="s">
        <v>3534</v>
      </c>
      <c r="B1768" s="4" t="s">
        <v>3535</v>
      </c>
    </row>
    <row r="1769">
      <c r="A1769" s="4" t="s">
        <v>3536</v>
      </c>
      <c r="B1769" s="4" t="s">
        <v>3537</v>
      </c>
    </row>
    <row r="1770">
      <c r="A1770" s="4" t="s">
        <v>3538</v>
      </c>
      <c r="B1770" s="4" t="s">
        <v>3539</v>
      </c>
    </row>
    <row r="1771">
      <c r="A1771" s="4" t="s">
        <v>3540</v>
      </c>
      <c r="B1771" s="4" t="s">
        <v>3541</v>
      </c>
    </row>
    <row r="1772">
      <c r="A1772" s="4" t="s">
        <v>3542</v>
      </c>
      <c r="B1772" s="4" t="s">
        <v>3543</v>
      </c>
    </row>
    <row r="1773">
      <c r="A1773" s="4" t="s">
        <v>3544</v>
      </c>
      <c r="B1773" s="4" t="s">
        <v>3545</v>
      </c>
    </row>
    <row r="1774">
      <c r="A1774" s="4" t="s">
        <v>3546</v>
      </c>
      <c r="B1774" s="4" t="s">
        <v>3547</v>
      </c>
    </row>
    <row r="1775">
      <c r="A1775" s="4" t="s">
        <v>3548</v>
      </c>
      <c r="B1775" s="4" t="s">
        <v>3549</v>
      </c>
    </row>
    <row r="1776">
      <c r="A1776" s="4" t="s">
        <v>3550</v>
      </c>
      <c r="B1776" s="4" t="s">
        <v>3551</v>
      </c>
    </row>
    <row r="1777">
      <c r="A1777" s="4" t="s">
        <v>3552</v>
      </c>
      <c r="B1777" s="4" t="s">
        <v>3553</v>
      </c>
    </row>
    <row r="1778">
      <c r="A1778" s="4" t="s">
        <v>3554</v>
      </c>
      <c r="B1778" s="4" t="s">
        <v>3555</v>
      </c>
    </row>
    <row r="1779">
      <c r="A1779" s="4" t="s">
        <v>3556</v>
      </c>
      <c r="B1779" s="4" t="s">
        <v>3557</v>
      </c>
    </row>
    <row r="1780">
      <c r="A1780" s="4" t="s">
        <v>3558</v>
      </c>
      <c r="B1780" s="4" t="s">
        <v>3559</v>
      </c>
    </row>
    <row r="1781">
      <c r="A1781" s="4" t="s">
        <v>3560</v>
      </c>
      <c r="B1781" s="4" t="s">
        <v>3561</v>
      </c>
    </row>
    <row r="1782">
      <c r="A1782" s="4" t="s">
        <v>3562</v>
      </c>
      <c r="B1782" s="4" t="s">
        <v>3563</v>
      </c>
    </row>
    <row r="1783">
      <c r="A1783" s="4" t="s">
        <v>3564</v>
      </c>
      <c r="B1783" s="4" t="s">
        <v>3565</v>
      </c>
    </row>
    <row r="1784">
      <c r="A1784" s="4" t="s">
        <v>3566</v>
      </c>
      <c r="B1784" s="4" t="s">
        <v>3567</v>
      </c>
    </row>
    <row r="1785">
      <c r="A1785" s="4" t="s">
        <v>3568</v>
      </c>
      <c r="B1785" s="4" t="s">
        <v>3569</v>
      </c>
    </row>
    <row r="1786">
      <c r="A1786" s="4" t="s">
        <v>3570</v>
      </c>
      <c r="B1786" s="4" t="s">
        <v>3571</v>
      </c>
    </row>
    <row r="1787">
      <c r="A1787" s="4" t="s">
        <v>3572</v>
      </c>
      <c r="B1787" s="4" t="s">
        <v>3573</v>
      </c>
    </row>
    <row r="1788">
      <c r="A1788" s="4" t="s">
        <v>3574</v>
      </c>
      <c r="B1788" s="4" t="s">
        <v>3575</v>
      </c>
    </row>
    <row r="1789">
      <c r="A1789" s="4" t="s">
        <v>3576</v>
      </c>
      <c r="B1789" s="4" t="s">
        <v>3577</v>
      </c>
    </row>
    <row r="1790">
      <c r="A1790" s="4" t="s">
        <v>3578</v>
      </c>
      <c r="B1790" s="4" t="s">
        <v>3579</v>
      </c>
    </row>
    <row r="1791">
      <c r="A1791" s="4" t="s">
        <v>3580</v>
      </c>
      <c r="B1791" s="4" t="s">
        <v>3581</v>
      </c>
    </row>
    <row r="1792">
      <c r="A1792" s="4" t="s">
        <v>3582</v>
      </c>
      <c r="B1792" s="4" t="s">
        <v>3583</v>
      </c>
    </row>
    <row r="1793">
      <c r="A1793" s="4" t="s">
        <v>3584</v>
      </c>
      <c r="B1793" s="4" t="s">
        <v>3585</v>
      </c>
    </row>
    <row r="1794">
      <c r="A1794" s="4" t="s">
        <v>3586</v>
      </c>
      <c r="B1794" s="4" t="s">
        <v>3587</v>
      </c>
    </row>
    <row r="1795">
      <c r="A1795" s="4" t="s">
        <v>3588</v>
      </c>
      <c r="B1795" s="4" t="s">
        <v>3589</v>
      </c>
    </row>
    <row r="1796">
      <c r="A1796" s="4" t="s">
        <v>3590</v>
      </c>
      <c r="B1796" s="4" t="s">
        <v>3591</v>
      </c>
    </row>
    <row r="1797">
      <c r="A1797" s="4" t="s">
        <v>3592</v>
      </c>
      <c r="B1797" s="4" t="s">
        <v>3593</v>
      </c>
    </row>
    <row r="1798">
      <c r="A1798" s="4" t="s">
        <v>3594</v>
      </c>
      <c r="B1798" s="4" t="s">
        <v>3595</v>
      </c>
    </row>
    <row r="1799">
      <c r="A1799" s="4" t="s">
        <v>3596</v>
      </c>
      <c r="B1799" s="4" t="s">
        <v>3597</v>
      </c>
    </row>
    <row r="1800">
      <c r="A1800" s="4" t="s">
        <v>3598</v>
      </c>
      <c r="B1800" s="4" t="s">
        <v>3599</v>
      </c>
    </row>
    <row r="1801">
      <c r="A1801" s="4" t="s">
        <v>3600</v>
      </c>
      <c r="B1801" s="4" t="s">
        <v>3601</v>
      </c>
    </row>
    <row r="1802">
      <c r="A1802" s="4" t="s">
        <v>3602</v>
      </c>
      <c r="B1802" s="4" t="s">
        <v>3603</v>
      </c>
    </row>
    <row r="1803">
      <c r="A1803" s="4" t="s">
        <v>3604</v>
      </c>
      <c r="B1803" s="4" t="s">
        <v>3605</v>
      </c>
    </row>
    <row r="1804">
      <c r="A1804" s="4" t="s">
        <v>3606</v>
      </c>
      <c r="B1804" s="4" t="s">
        <v>3607</v>
      </c>
    </row>
    <row r="1805">
      <c r="A1805" s="4" t="s">
        <v>3608</v>
      </c>
      <c r="B1805" s="4" t="s">
        <v>3609</v>
      </c>
    </row>
    <row r="1806">
      <c r="A1806" s="4" t="s">
        <v>3610</v>
      </c>
      <c r="B1806" s="4" t="s">
        <v>3611</v>
      </c>
    </row>
    <row r="1807">
      <c r="A1807" s="4" t="s">
        <v>3612</v>
      </c>
      <c r="B1807" s="4" t="s">
        <v>3613</v>
      </c>
    </row>
    <row r="1808">
      <c r="A1808" s="4" t="s">
        <v>3614</v>
      </c>
      <c r="B1808" s="4" t="s">
        <v>3615</v>
      </c>
    </row>
    <row r="1809">
      <c r="A1809" s="4" t="s">
        <v>3616</v>
      </c>
      <c r="B1809" s="4" t="s">
        <v>3617</v>
      </c>
    </row>
    <row r="1810">
      <c r="A1810" s="4" t="s">
        <v>3618</v>
      </c>
      <c r="B1810" s="4" t="s">
        <v>3619</v>
      </c>
    </row>
    <row r="1811">
      <c r="A1811" s="4" t="s">
        <v>3620</v>
      </c>
      <c r="B1811" s="4" t="s">
        <v>3621</v>
      </c>
    </row>
    <row r="1812">
      <c r="A1812" s="4" t="s">
        <v>3622</v>
      </c>
      <c r="B1812" s="4" t="s">
        <v>3623</v>
      </c>
    </row>
    <row r="1813">
      <c r="A1813" s="4" t="s">
        <v>3624</v>
      </c>
      <c r="B1813" s="4" t="s">
        <v>3625</v>
      </c>
    </row>
    <row r="1814">
      <c r="A1814" s="4" t="s">
        <v>3626</v>
      </c>
      <c r="B1814" s="4" t="s">
        <v>3627</v>
      </c>
    </row>
    <row r="1815">
      <c r="A1815" s="4" t="s">
        <v>3628</v>
      </c>
      <c r="B1815" s="4" t="s">
        <v>3629</v>
      </c>
    </row>
    <row r="1816">
      <c r="A1816" s="4" t="s">
        <v>3630</v>
      </c>
      <c r="B1816" s="4" t="s">
        <v>3631</v>
      </c>
    </row>
    <row r="1817">
      <c r="A1817" s="4" t="s">
        <v>3632</v>
      </c>
      <c r="B1817" s="4" t="s">
        <v>3633</v>
      </c>
    </row>
    <row r="1818">
      <c r="A1818" s="4" t="s">
        <v>3634</v>
      </c>
      <c r="B1818" s="4" t="s">
        <v>3635</v>
      </c>
    </row>
    <row r="1819">
      <c r="A1819" s="4" t="s">
        <v>3636</v>
      </c>
      <c r="B1819" s="4" t="s">
        <v>3637</v>
      </c>
    </row>
    <row r="1820">
      <c r="A1820" s="4" t="s">
        <v>3638</v>
      </c>
      <c r="B1820" s="4" t="s">
        <v>3639</v>
      </c>
    </row>
    <row r="1821">
      <c r="A1821" s="4" t="s">
        <v>3640</v>
      </c>
      <c r="B1821" s="4" t="s">
        <v>3641</v>
      </c>
    </row>
    <row r="1822">
      <c r="A1822" s="4" t="s">
        <v>3642</v>
      </c>
      <c r="B1822" s="4" t="s">
        <v>3643</v>
      </c>
    </row>
    <row r="1823">
      <c r="A1823" s="4" t="s">
        <v>3644</v>
      </c>
      <c r="B1823" s="4" t="s">
        <v>3645</v>
      </c>
    </row>
    <row r="1824">
      <c r="A1824" s="4" t="s">
        <v>3646</v>
      </c>
      <c r="B1824" s="4" t="s">
        <v>3647</v>
      </c>
    </row>
    <row r="1825">
      <c r="A1825" s="4" t="s">
        <v>3648</v>
      </c>
      <c r="B1825" s="4" t="s">
        <v>3649</v>
      </c>
    </row>
    <row r="1826">
      <c r="A1826" s="4" t="s">
        <v>3650</v>
      </c>
      <c r="B1826" s="4" t="s">
        <v>3651</v>
      </c>
    </row>
    <row r="1827">
      <c r="A1827" s="4" t="s">
        <v>3652</v>
      </c>
      <c r="B1827" s="4" t="s">
        <v>3653</v>
      </c>
    </row>
    <row r="1828">
      <c r="A1828" s="4" t="s">
        <v>3654</v>
      </c>
      <c r="B1828" s="4" t="s">
        <v>3655</v>
      </c>
    </row>
    <row r="1829">
      <c r="A1829" s="4" t="s">
        <v>3656</v>
      </c>
      <c r="B1829" s="4" t="s">
        <v>3657</v>
      </c>
    </row>
    <row r="1830">
      <c r="A1830" s="4" t="s">
        <v>3658</v>
      </c>
      <c r="B1830" s="4" t="s">
        <v>3659</v>
      </c>
    </row>
    <row r="1831">
      <c r="A1831" s="4" t="s">
        <v>3660</v>
      </c>
      <c r="B1831" s="4" t="s">
        <v>3661</v>
      </c>
    </row>
    <row r="1832">
      <c r="A1832" s="4" t="s">
        <v>3662</v>
      </c>
      <c r="B1832" s="4" t="s">
        <v>3663</v>
      </c>
    </row>
    <row r="1833">
      <c r="A1833" s="4" t="s">
        <v>3664</v>
      </c>
      <c r="B1833" s="4" t="s">
        <v>3665</v>
      </c>
    </row>
    <row r="1834">
      <c r="A1834" s="4" t="s">
        <v>3666</v>
      </c>
      <c r="B1834" s="4" t="s">
        <v>3667</v>
      </c>
    </row>
    <row r="1835">
      <c r="A1835" s="4" t="s">
        <v>3668</v>
      </c>
      <c r="B1835" s="4" t="s">
        <v>3669</v>
      </c>
    </row>
    <row r="1836">
      <c r="A1836" s="4" t="s">
        <v>3670</v>
      </c>
      <c r="B1836" s="4" t="s">
        <v>3671</v>
      </c>
    </row>
    <row r="1837">
      <c r="A1837" s="4" t="s">
        <v>3672</v>
      </c>
      <c r="B1837" s="4" t="s">
        <v>3673</v>
      </c>
    </row>
    <row r="1838">
      <c r="A1838" s="4" t="s">
        <v>3674</v>
      </c>
      <c r="B1838" s="4" t="s">
        <v>3675</v>
      </c>
    </row>
    <row r="1839">
      <c r="A1839" s="4" t="s">
        <v>3676</v>
      </c>
      <c r="B1839" s="4" t="s">
        <v>3677</v>
      </c>
    </row>
    <row r="1840">
      <c r="A1840" s="4" t="s">
        <v>3678</v>
      </c>
      <c r="B1840" s="4" t="s">
        <v>3679</v>
      </c>
    </row>
    <row r="1841">
      <c r="A1841" s="4" t="s">
        <v>3680</v>
      </c>
      <c r="B1841" s="4" t="s">
        <v>3681</v>
      </c>
    </row>
    <row r="1842">
      <c r="A1842" s="4" t="s">
        <v>3682</v>
      </c>
      <c r="B1842" s="4" t="s">
        <v>3683</v>
      </c>
    </row>
    <row r="1843">
      <c r="A1843" s="4" t="s">
        <v>3684</v>
      </c>
      <c r="B1843" s="4" t="s">
        <v>3685</v>
      </c>
    </row>
    <row r="1844">
      <c r="A1844" s="4" t="s">
        <v>3686</v>
      </c>
      <c r="B1844" s="4" t="s">
        <v>3687</v>
      </c>
    </row>
    <row r="1845">
      <c r="A1845" s="4" t="s">
        <v>3688</v>
      </c>
      <c r="B1845" s="4" t="s">
        <v>3689</v>
      </c>
    </row>
    <row r="1846">
      <c r="A1846" s="4" t="s">
        <v>3690</v>
      </c>
      <c r="B1846" s="4" t="s">
        <v>3691</v>
      </c>
    </row>
    <row r="1847">
      <c r="A1847" s="4" t="s">
        <v>3692</v>
      </c>
      <c r="B1847" s="4" t="s">
        <v>3693</v>
      </c>
    </row>
    <row r="1848">
      <c r="A1848" s="4" t="s">
        <v>3694</v>
      </c>
      <c r="B1848" s="4" t="s">
        <v>3695</v>
      </c>
    </row>
    <row r="1849">
      <c r="A1849" s="4" t="s">
        <v>3696</v>
      </c>
      <c r="B1849" s="4" t="s">
        <v>3697</v>
      </c>
    </row>
    <row r="1850">
      <c r="A1850" s="4" t="s">
        <v>3698</v>
      </c>
      <c r="B1850" s="4" t="s">
        <v>3699</v>
      </c>
    </row>
    <row r="1851">
      <c r="A1851" s="4" t="s">
        <v>3700</v>
      </c>
      <c r="B1851" s="4" t="s">
        <v>3701</v>
      </c>
    </row>
    <row r="1852">
      <c r="A1852" s="4" t="s">
        <v>3702</v>
      </c>
      <c r="B1852" s="4" t="s">
        <v>3703</v>
      </c>
    </row>
    <row r="1853">
      <c r="A1853" s="4" t="s">
        <v>3704</v>
      </c>
      <c r="B1853" s="4" t="s">
        <v>3705</v>
      </c>
    </row>
    <row r="1854">
      <c r="A1854" s="4" t="s">
        <v>3706</v>
      </c>
      <c r="B1854" s="4" t="s">
        <v>3707</v>
      </c>
    </row>
    <row r="1855">
      <c r="A1855" s="4" t="s">
        <v>3708</v>
      </c>
      <c r="B1855" s="4" t="s">
        <v>3709</v>
      </c>
    </row>
    <row r="1856">
      <c r="A1856" s="4" t="s">
        <v>3710</v>
      </c>
      <c r="B1856" s="4" t="s">
        <v>3711</v>
      </c>
    </row>
    <row r="1857">
      <c r="A1857" s="4" t="s">
        <v>3712</v>
      </c>
      <c r="B1857" s="4" t="s">
        <v>3713</v>
      </c>
    </row>
    <row r="1858">
      <c r="A1858" s="4" t="s">
        <v>3714</v>
      </c>
      <c r="B1858" s="4" t="s">
        <v>3715</v>
      </c>
    </row>
    <row r="1859">
      <c r="A1859" s="4" t="s">
        <v>3716</v>
      </c>
      <c r="B1859" s="4" t="s">
        <v>3717</v>
      </c>
    </row>
    <row r="1860">
      <c r="A1860" s="4" t="s">
        <v>3718</v>
      </c>
      <c r="B1860" s="4" t="s">
        <v>3719</v>
      </c>
    </row>
    <row r="1861">
      <c r="A1861" s="4" t="s">
        <v>3720</v>
      </c>
      <c r="B1861" s="4" t="s">
        <v>3721</v>
      </c>
    </row>
    <row r="1862">
      <c r="A1862" s="4" t="s">
        <v>3722</v>
      </c>
      <c r="B1862" s="4" t="s">
        <v>3723</v>
      </c>
    </row>
    <row r="1863">
      <c r="A1863" s="4" t="s">
        <v>3724</v>
      </c>
      <c r="B1863" s="4" t="s">
        <v>3725</v>
      </c>
    </row>
    <row r="1864">
      <c r="A1864" s="4" t="s">
        <v>3726</v>
      </c>
      <c r="B1864" s="4" t="s">
        <v>3727</v>
      </c>
    </row>
    <row r="1865">
      <c r="A1865" s="4" t="s">
        <v>3728</v>
      </c>
      <c r="B1865" s="4" t="s">
        <v>3729</v>
      </c>
    </row>
    <row r="1866">
      <c r="A1866" s="4" t="s">
        <v>3730</v>
      </c>
      <c r="B1866" s="4" t="s">
        <v>3731</v>
      </c>
    </row>
    <row r="1867">
      <c r="A1867" s="4" t="s">
        <v>3732</v>
      </c>
      <c r="B1867" s="4" t="s">
        <v>3733</v>
      </c>
    </row>
    <row r="1868">
      <c r="A1868" s="4" t="s">
        <v>3734</v>
      </c>
      <c r="B1868" s="4" t="s">
        <v>3735</v>
      </c>
    </row>
    <row r="1869">
      <c r="A1869" s="4" t="s">
        <v>3736</v>
      </c>
      <c r="B1869" s="4" t="s">
        <v>3737</v>
      </c>
    </row>
    <row r="1870">
      <c r="A1870" s="4" t="s">
        <v>3738</v>
      </c>
      <c r="B1870" s="4" t="s">
        <v>3739</v>
      </c>
    </row>
    <row r="1871">
      <c r="A1871" s="4" t="s">
        <v>3740</v>
      </c>
      <c r="B1871" s="4" t="s">
        <v>3741</v>
      </c>
    </row>
    <row r="1872">
      <c r="A1872" s="4" t="s">
        <v>3742</v>
      </c>
      <c r="B1872" s="4" t="s">
        <v>3743</v>
      </c>
    </row>
    <row r="1873">
      <c r="A1873" s="4" t="s">
        <v>3744</v>
      </c>
      <c r="B1873" s="4" t="s">
        <v>3745</v>
      </c>
    </row>
    <row r="1874">
      <c r="A1874" s="4" t="s">
        <v>3746</v>
      </c>
      <c r="B1874" s="4" t="s">
        <v>3747</v>
      </c>
    </row>
    <row r="1875">
      <c r="A1875" s="4" t="s">
        <v>3748</v>
      </c>
      <c r="B1875" s="4" t="s">
        <v>3749</v>
      </c>
    </row>
    <row r="1876">
      <c r="A1876" s="4" t="s">
        <v>3750</v>
      </c>
      <c r="B1876" s="4" t="s">
        <v>3751</v>
      </c>
    </row>
    <row r="1877">
      <c r="A1877" s="4" t="s">
        <v>3752</v>
      </c>
      <c r="B1877" s="4" t="s">
        <v>3753</v>
      </c>
    </row>
    <row r="1878">
      <c r="A1878" s="4" t="s">
        <v>3754</v>
      </c>
      <c r="B1878" s="4" t="s">
        <v>3755</v>
      </c>
    </row>
    <row r="1879">
      <c r="A1879" s="4" t="s">
        <v>3756</v>
      </c>
      <c r="B1879" s="4" t="s">
        <v>3757</v>
      </c>
    </row>
    <row r="1880">
      <c r="A1880" s="4" t="s">
        <v>3758</v>
      </c>
      <c r="B1880" s="4" t="s">
        <v>3759</v>
      </c>
    </row>
    <row r="1881">
      <c r="A1881" s="4" t="s">
        <v>3760</v>
      </c>
      <c r="B1881" s="4" t="s">
        <v>3761</v>
      </c>
    </row>
    <row r="1882">
      <c r="A1882" s="4" t="s">
        <v>3762</v>
      </c>
      <c r="B1882" s="4" t="s">
        <v>3763</v>
      </c>
    </row>
    <row r="1883">
      <c r="A1883" s="4" t="s">
        <v>3764</v>
      </c>
      <c r="B1883" s="4" t="s">
        <v>3765</v>
      </c>
    </row>
    <row r="1884">
      <c r="A1884" s="4" t="s">
        <v>3766</v>
      </c>
      <c r="B1884" s="4" t="s">
        <v>3767</v>
      </c>
    </row>
    <row r="1885">
      <c r="A1885" s="4" t="s">
        <v>3768</v>
      </c>
      <c r="B1885" s="4" t="s">
        <v>3769</v>
      </c>
    </row>
    <row r="1886">
      <c r="A1886" s="4" t="s">
        <v>3770</v>
      </c>
      <c r="B1886" s="4" t="s">
        <v>3771</v>
      </c>
    </row>
    <row r="1887">
      <c r="A1887" s="4" t="s">
        <v>3772</v>
      </c>
      <c r="B1887" s="4" t="s">
        <v>3773</v>
      </c>
    </row>
    <row r="1888">
      <c r="A1888" s="4" t="s">
        <v>3774</v>
      </c>
      <c r="B1888" s="4" t="s">
        <v>3775</v>
      </c>
    </row>
    <row r="1889">
      <c r="A1889" s="4" t="s">
        <v>3776</v>
      </c>
      <c r="B1889" s="4" t="s">
        <v>3777</v>
      </c>
    </row>
    <row r="1890">
      <c r="A1890" s="4" t="s">
        <v>3778</v>
      </c>
      <c r="B1890" s="4" t="s">
        <v>3779</v>
      </c>
    </row>
    <row r="1891">
      <c r="A1891" s="4" t="s">
        <v>3780</v>
      </c>
      <c r="B1891" s="4" t="s">
        <v>3781</v>
      </c>
    </row>
    <row r="1892">
      <c r="A1892" s="4" t="s">
        <v>3782</v>
      </c>
      <c r="B1892" s="4" t="s">
        <v>3783</v>
      </c>
    </row>
    <row r="1893">
      <c r="A1893" s="4" t="s">
        <v>3784</v>
      </c>
      <c r="B1893" s="4" t="s">
        <v>3785</v>
      </c>
    </row>
    <row r="1894">
      <c r="A1894" s="4" t="s">
        <v>3786</v>
      </c>
      <c r="B1894" s="4" t="s">
        <v>3787</v>
      </c>
    </row>
    <row r="1895">
      <c r="A1895" s="4" t="s">
        <v>3788</v>
      </c>
      <c r="B1895" s="4" t="s">
        <v>3789</v>
      </c>
    </row>
    <row r="1896">
      <c r="A1896" s="4" t="s">
        <v>3790</v>
      </c>
      <c r="B1896" s="4" t="s">
        <v>3791</v>
      </c>
    </row>
    <row r="1897">
      <c r="A1897" s="4" t="s">
        <v>3792</v>
      </c>
      <c r="B1897" s="4" t="s">
        <v>3793</v>
      </c>
    </row>
    <row r="1898">
      <c r="A1898" s="4" t="s">
        <v>3794</v>
      </c>
      <c r="B1898" s="4" t="s">
        <v>3795</v>
      </c>
    </row>
    <row r="1899">
      <c r="A1899" s="4" t="s">
        <v>3796</v>
      </c>
      <c r="B1899" s="4" t="s">
        <v>3797</v>
      </c>
    </row>
    <row r="1900">
      <c r="A1900" s="4" t="s">
        <v>3798</v>
      </c>
      <c r="B1900" s="4" t="s">
        <v>3799</v>
      </c>
    </row>
    <row r="1901">
      <c r="A1901" s="4" t="s">
        <v>3800</v>
      </c>
      <c r="B1901" s="4" t="s">
        <v>3801</v>
      </c>
    </row>
    <row r="1902">
      <c r="A1902" s="4" t="s">
        <v>3802</v>
      </c>
      <c r="B1902" s="4" t="s">
        <v>3803</v>
      </c>
    </row>
    <row r="1903">
      <c r="A1903" s="4" t="s">
        <v>3804</v>
      </c>
      <c r="B1903" s="4" t="s">
        <v>3805</v>
      </c>
    </row>
    <row r="1904">
      <c r="A1904" s="4" t="s">
        <v>3806</v>
      </c>
      <c r="B1904" s="4" t="s">
        <v>3807</v>
      </c>
    </row>
    <row r="1905">
      <c r="A1905" s="4" t="s">
        <v>3808</v>
      </c>
      <c r="B1905" s="4" t="s">
        <v>3809</v>
      </c>
    </row>
    <row r="1906">
      <c r="A1906" s="4" t="s">
        <v>3810</v>
      </c>
      <c r="B1906" s="4" t="s">
        <v>3811</v>
      </c>
    </row>
    <row r="1907">
      <c r="A1907" s="4" t="s">
        <v>3812</v>
      </c>
      <c r="B1907" s="4" t="s">
        <v>3813</v>
      </c>
    </row>
    <row r="1908">
      <c r="A1908" s="4" t="s">
        <v>3814</v>
      </c>
      <c r="B1908" s="4" t="s">
        <v>3815</v>
      </c>
    </row>
    <row r="1909">
      <c r="A1909" s="4" t="s">
        <v>3816</v>
      </c>
      <c r="B1909" s="4" t="s">
        <v>3817</v>
      </c>
    </row>
    <row r="1910">
      <c r="A1910" s="4" t="s">
        <v>3818</v>
      </c>
      <c r="B1910" s="4" t="s">
        <v>3819</v>
      </c>
    </row>
    <row r="1911">
      <c r="A1911" s="4" t="s">
        <v>3820</v>
      </c>
      <c r="B1911" s="4" t="s">
        <v>3821</v>
      </c>
    </row>
    <row r="1912">
      <c r="A1912" s="4" t="s">
        <v>3822</v>
      </c>
      <c r="B1912" s="4" t="s">
        <v>3823</v>
      </c>
    </row>
    <row r="1913">
      <c r="A1913" s="4" t="s">
        <v>3824</v>
      </c>
      <c r="B1913" s="4" t="s">
        <v>3825</v>
      </c>
    </row>
    <row r="1914">
      <c r="A1914" s="4" t="s">
        <v>3826</v>
      </c>
      <c r="B1914" s="4" t="s">
        <v>3827</v>
      </c>
    </row>
    <row r="1915">
      <c r="A1915" s="4" t="s">
        <v>3828</v>
      </c>
      <c r="B1915" s="4" t="s">
        <v>3829</v>
      </c>
    </row>
    <row r="1916">
      <c r="A1916" s="4" t="s">
        <v>3830</v>
      </c>
      <c r="B1916" s="4" t="s">
        <v>3831</v>
      </c>
    </row>
    <row r="1917">
      <c r="A1917" s="4" t="s">
        <v>3832</v>
      </c>
      <c r="B1917" s="4" t="s">
        <v>3833</v>
      </c>
    </row>
    <row r="1918">
      <c r="A1918" s="4" t="s">
        <v>3834</v>
      </c>
      <c r="B1918" s="4" t="s">
        <v>3835</v>
      </c>
    </row>
    <row r="1919">
      <c r="A1919" s="4" t="s">
        <v>3836</v>
      </c>
      <c r="B1919" s="4" t="s">
        <v>3837</v>
      </c>
    </row>
    <row r="1920">
      <c r="A1920" s="4" t="s">
        <v>3838</v>
      </c>
      <c r="B1920" s="4" t="s">
        <v>3839</v>
      </c>
    </row>
    <row r="1921">
      <c r="A1921" s="4" t="s">
        <v>3840</v>
      </c>
      <c r="B1921" s="4" t="s">
        <v>3841</v>
      </c>
    </row>
    <row r="1922">
      <c r="A1922" s="4" t="s">
        <v>3842</v>
      </c>
      <c r="B1922" s="4" t="s">
        <v>3843</v>
      </c>
    </row>
    <row r="1923">
      <c r="A1923" s="4" t="s">
        <v>3844</v>
      </c>
      <c r="B1923" s="4" t="s">
        <v>3845</v>
      </c>
    </row>
    <row r="1924">
      <c r="A1924" s="4" t="s">
        <v>3846</v>
      </c>
      <c r="B1924" s="4" t="s">
        <v>3847</v>
      </c>
    </row>
    <row r="1925">
      <c r="A1925" s="4" t="s">
        <v>3848</v>
      </c>
      <c r="B1925" s="4" t="s">
        <v>3849</v>
      </c>
    </row>
    <row r="1926">
      <c r="A1926" s="4" t="s">
        <v>3850</v>
      </c>
      <c r="B1926" s="4" t="s">
        <v>3851</v>
      </c>
    </row>
    <row r="1927">
      <c r="A1927" s="4" t="s">
        <v>3852</v>
      </c>
      <c r="B1927" s="4" t="s">
        <v>3853</v>
      </c>
    </row>
    <row r="1928">
      <c r="A1928" s="4" t="s">
        <v>3854</v>
      </c>
      <c r="B1928" s="4" t="s">
        <v>3855</v>
      </c>
    </row>
    <row r="1929">
      <c r="A1929" s="4" t="s">
        <v>3856</v>
      </c>
      <c r="B1929" s="4" t="s">
        <v>3857</v>
      </c>
    </row>
    <row r="1930">
      <c r="A1930" s="4" t="s">
        <v>3858</v>
      </c>
      <c r="B1930" s="4" t="s">
        <v>3859</v>
      </c>
    </row>
    <row r="1931">
      <c r="A1931" s="4" t="s">
        <v>3860</v>
      </c>
      <c r="B1931" s="4" t="s">
        <v>3861</v>
      </c>
    </row>
    <row r="1932">
      <c r="A1932" s="4" t="s">
        <v>3862</v>
      </c>
      <c r="B1932" s="4" t="s">
        <v>3863</v>
      </c>
    </row>
    <row r="1933">
      <c r="A1933" s="4" t="s">
        <v>3864</v>
      </c>
      <c r="B1933" s="4" t="s">
        <v>3865</v>
      </c>
    </row>
    <row r="1934">
      <c r="A1934" s="4" t="s">
        <v>3866</v>
      </c>
      <c r="B1934" s="4" t="s">
        <v>3867</v>
      </c>
    </row>
    <row r="1935">
      <c r="A1935" s="4" t="s">
        <v>3868</v>
      </c>
      <c r="B1935" s="4" t="s">
        <v>3869</v>
      </c>
    </row>
    <row r="1936">
      <c r="A1936" s="4" t="s">
        <v>3870</v>
      </c>
      <c r="B1936" s="4" t="s">
        <v>3871</v>
      </c>
    </row>
    <row r="1937">
      <c r="A1937" s="4" t="s">
        <v>3872</v>
      </c>
      <c r="B1937" s="4" t="s">
        <v>3873</v>
      </c>
    </row>
    <row r="1938">
      <c r="A1938" s="4" t="s">
        <v>3874</v>
      </c>
      <c r="B1938" s="4" t="s">
        <v>3875</v>
      </c>
    </row>
    <row r="1939">
      <c r="A1939" s="4" t="s">
        <v>3876</v>
      </c>
      <c r="B1939" s="4" t="s">
        <v>3877</v>
      </c>
    </row>
    <row r="1940">
      <c r="A1940" s="4" t="s">
        <v>3878</v>
      </c>
      <c r="B1940" s="4" t="s">
        <v>3879</v>
      </c>
    </row>
    <row r="1941">
      <c r="A1941" s="4" t="s">
        <v>3880</v>
      </c>
      <c r="B1941" s="4" t="s">
        <v>3881</v>
      </c>
    </row>
    <row r="1942">
      <c r="A1942" s="4" t="s">
        <v>3882</v>
      </c>
      <c r="B1942" s="4" t="s">
        <v>3883</v>
      </c>
    </row>
    <row r="1943">
      <c r="A1943" s="4" t="s">
        <v>3884</v>
      </c>
      <c r="B1943" s="4" t="s">
        <v>3885</v>
      </c>
    </row>
    <row r="1944">
      <c r="A1944" s="4" t="s">
        <v>3886</v>
      </c>
      <c r="B1944" s="4" t="s">
        <v>3887</v>
      </c>
    </row>
    <row r="1945">
      <c r="A1945" s="4" t="s">
        <v>3888</v>
      </c>
      <c r="B1945" s="4" t="s">
        <v>3889</v>
      </c>
    </row>
    <row r="1946">
      <c r="A1946" s="4" t="s">
        <v>3890</v>
      </c>
      <c r="B1946" s="4" t="s">
        <v>3891</v>
      </c>
    </row>
    <row r="1947">
      <c r="A1947" s="4" t="s">
        <v>3892</v>
      </c>
      <c r="B1947" s="4" t="s">
        <v>3893</v>
      </c>
    </row>
    <row r="1948">
      <c r="A1948" s="4" t="s">
        <v>3894</v>
      </c>
      <c r="B1948" s="4" t="s">
        <v>3895</v>
      </c>
    </row>
    <row r="1949">
      <c r="A1949" s="4" t="s">
        <v>3896</v>
      </c>
      <c r="B1949" s="4" t="s">
        <v>3897</v>
      </c>
    </row>
    <row r="1950">
      <c r="A1950" s="4" t="s">
        <v>3898</v>
      </c>
      <c r="B1950" s="4" t="s">
        <v>3899</v>
      </c>
    </row>
    <row r="1951">
      <c r="A1951" s="4" t="s">
        <v>3900</v>
      </c>
      <c r="B1951" s="4" t="s">
        <v>3901</v>
      </c>
    </row>
    <row r="1952">
      <c r="A1952" s="4" t="s">
        <v>3902</v>
      </c>
      <c r="B1952" s="4" t="s">
        <v>3903</v>
      </c>
    </row>
    <row r="1953">
      <c r="A1953" s="4" t="s">
        <v>3904</v>
      </c>
      <c r="B1953" s="4" t="s">
        <v>3905</v>
      </c>
    </row>
    <row r="1954">
      <c r="A1954" s="4" t="s">
        <v>3906</v>
      </c>
      <c r="B1954" s="4" t="s">
        <v>3907</v>
      </c>
    </row>
    <row r="1955">
      <c r="A1955" s="4" t="s">
        <v>3908</v>
      </c>
      <c r="B1955" s="4" t="s">
        <v>3909</v>
      </c>
    </row>
    <row r="1956">
      <c r="A1956" s="4" t="s">
        <v>3910</v>
      </c>
      <c r="B1956" s="4" t="s">
        <v>3911</v>
      </c>
    </row>
    <row r="1957">
      <c r="A1957" s="4" t="s">
        <v>3912</v>
      </c>
      <c r="B1957" s="4" t="s">
        <v>3913</v>
      </c>
    </row>
    <row r="1958">
      <c r="A1958" s="4" t="s">
        <v>3914</v>
      </c>
      <c r="B1958" s="4" t="s">
        <v>3915</v>
      </c>
    </row>
    <row r="1959">
      <c r="A1959" s="4" t="s">
        <v>3916</v>
      </c>
      <c r="B1959" s="4" t="s">
        <v>3917</v>
      </c>
    </row>
    <row r="1960">
      <c r="A1960" s="4" t="s">
        <v>3918</v>
      </c>
      <c r="B1960" s="4" t="s">
        <v>3919</v>
      </c>
    </row>
    <row r="1961">
      <c r="A1961" s="4" t="s">
        <v>3920</v>
      </c>
      <c r="B1961" s="4" t="s">
        <v>3921</v>
      </c>
    </row>
    <row r="1962">
      <c r="A1962" s="4" t="s">
        <v>3922</v>
      </c>
      <c r="B1962" s="4" t="s">
        <v>3923</v>
      </c>
    </row>
    <row r="1963">
      <c r="A1963" s="4" t="s">
        <v>3924</v>
      </c>
      <c r="B1963" s="4" t="s">
        <v>3925</v>
      </c>
    </row>
    <row r="1964">
      <c r="A1964" s="4" t="s">
        <v>3926</v>
      </c>
      <c r="B1964" s="4" t="s">
        <v>3927</v>
      </c>
    </row>
    <row r="1965">
      <c r="A1965" s="4" t="s">
        <v>3928</v>
      </c>
      <c r="B1965" s="4" t="s">
        <v>3929</v>
      </c>
    </row>
    <row r="1966">
      <c r="A1966" s="4" t="s">
        <v>3930</v>
      </c>
      <c r="B1966" s="4" t="s">
        <v>3931</v>
      </c>
    </row>
    <row r="1967">
      <c r="A1967" s="4" t="s">
        <v>3932</v>
      </c>
      <c r="B1967" s="4" t="s">
        <v>3933</v>
      </c>
    </row>
    <row r="1968">
      <c r="A1968" s="4" t="s">
        <v>3934</v>
      </c>
      <c r="B1968" s="4" t="s">
        <v>3935</v>
      </c>
    </row>
    <row r="1969">
      <c r="A1969" s="4" t="s">
        <v>3936</v>
      </c>
      <c r="B1969" s="4" t="s">
        <v>3937</v>
      </c>
    </row>
    <row r="1970">
      <c r="A1970" s="4" t="s">
        <v>3938</v>
      </c>
      <c r="B1970" s="4" t="s">
        <v>3939</v>
      </c>
    </row>
    <row r="1971">
      <c r="A1971" s="4" t="s">
        <v>3940</v>
      </c>
      <c r="B1971" s="4" t="s">
        <v>3941</v>
      </c>
    </row>
    <row r="1972">
      <c r="A1972" s="4" t="s">
        <v>3942</v>
      </c>
      <c r="B1972" s="4" t="s">
        <v>3943</v>
      </c>
    </row>
    <row r="1973">
      <c r="A1973" s="4" t="s">
        <v>3944</v>
      </c>
      <c r="B1973" s="4" t="s">
        <v>3945</v>
      </c>
    </row>
    <row r="1974">
      <c r="A1974" s="4" t="s">
        <v>3946</v>
      </c>
      <c r="B1974" s="4" t="s">
        <v>3947</v>
      </c>
    </row>
    <row r="1975">
      <c r="A1975" s="4" t="s">
        <v>3948</v>
      </c>
      <c r="B1975" s="4" t="s">
        <v>3949</v>
      </c>
    </row>
    <row r="1976">
      <c r="A1976" s="4" t="s">
        <v>3950</v>
      </c>
      <c r="B1976" s="4" t="s">
        <v>3951</v>
      </c>
    </row>
    <row r="1977">
      <c r="A1977" s="4" t="s">
        <v>3952</v>
      </c>
      <c r="B1977" s="4" t="s">
        <v>3953</v>
      </c>
    </row>
    <row r="1978">
      <c r="A1978" s="4" t="s">
        <v>3954</v>
      </c>
      <c r="B1978" s="4" t="s">
        <v>3955</v>
      </c>
    </row>
    <row r="1979">
      <c r="A1979" s="4" t="s">
        <v>3956</v>
      </c>
      <c r="B1979" s="4" t="s">
        <v>3957</v>
      </c>
    </row>
    <row r="1980">
      <c r="A1980" s="4" t="s">
        <v>3958</v>
      </c>
      <c r="B1980" s="4" t="s">
        <v>3959</v>
      </c>
    </row>
    <row r="1981">
      <c r="A1981" s="4" t="s">
        <v>3960</v>
      </c>
      <c r="B1981" s="4" t="s">
        <v>3961</v>
      </c>
    </row>
    <row r="1982">
      <c r="A1982" s="4" t="s">
        <v>3962</v>
      </c>
      <c r="B1982" s="4" t="s">
        <v>3963</v>
      </c>
    </row>
    <row r="1983">
      <c r="A1983" s="4" t="s">
        <v>3964</v>
      </c>
      <c r="B1983" s="4" t="s">
        <v>3965</v>
      </c>
    </row>
    <row r="1984">
      <c r="A1984" s="4" t="s">
        <v>3966</v>
      </c>
      <c r="B1984" s="4" t="s">
        <v>3967</v>
      </c>
    </row>
    <row r="1985">
      <c r="A1985" s="4" t="s">
        <v>3968</v>
      </c>
      <c r="B1985" s="4" t="s">
        <v>3969</v>
      </c>
    </row>
    <row r="1986">
      <c r="A1986" s="4" t="s">
        <v>3970</v>
      </c>
      <c r="B1986" s="4" t="s">
        <v>3971</v>
      </c>
    </row>
    <row r="1987">
      <c r="A1987" s="4" t="s">
        <v>3972</v>
      </c>
      <c r="B1987" s="4" t="s">
        <v>3973</v>
      </c>
    </row>
    <row r="1988">
      <c r="A1988" s="4" t="s">
        <v>3974</v>
      </c>
      <c r="B1988" s="4" t="s">
        <v>3975</v>
      </c>
    </row>
    <row r="1989">
      <c r="A1989" s="4" t="s">
        <v>3976</v>
      </c>
      <c r="B1989" s="4" t="s">
        <v>3977</v>
      </c>
    </row>
    <row r="1990">
      <c r="A1990" s="4" t="s">
        <v>3978</v>
      </c>
      <c r="B1990" s="4" t="s">
        <v>3979</v>
      </c>
    </row>
    <row r="1991">
      <c r="A1991" s="4" t="s">
        <v>3980</v>
      </c>
      <c r="B1991" s="4" t="s">
        <v>3981</v>
      </c>
    </row>
    <row r="1992">
      <c r="A1992" s="4" t="s">
        <v>3982</v>
      </c>
      <c r="B1992" s="4" t="s">
        <v>3983</v>
      </c>
    </row>
    <row r="1993">
      <c r="A1993" s="4" t="s">
        <v>3984</v>
      </c>
      <c r="B1993" s="4" t="s">
        <v>3985</v>
      </c>
    </row>
    <row r="1994">
      <c r="A1994" s="4" t="s">
        <v>3986</v>
      </c>
      <c r="B1994" s="4" t="s">
        <v>3987</v>
      </c>
    </row>
    <row r="1995">
      <c r="A1995" s="4" t="s">
        <v>3988</v>
      </c>
      <c r="B1995" s="4" t="s">
        <v>3989</v>
      </c>
    </row>
    <row r="1996">
      <c r="A1996" s="4" t="s">
        <v>3990</v>
      </c>
      <c r="B1996" s="4" t="s">
        <v>3991</v>
      </c>
    </row>
    <row r="1997">
      <c r="A1997" s="4" t="s">
        <v>3992</v>
      </c>
      <c r="B1997" s="4" t="s">
        <v>3993</v>
      </c>
    </row>
    <row r="1998">
      <c r="A1998" s="4" t="s">
        <v>3994</v>
      </c>
      <c r="B1998" s="4" t="s">
        <v>3995</v>
      </c>
    </row>
    <row r="1999">
      <c r="A1999" s="4" t="s">
        <v>3996</v>
      </c>
      <c r="B1999" s="4" t="s">
        <v>3997</v>
      </c>
    </row>
    <row r="2000">
      <c r="A2000" s="4" t="s">
        <v>3998</v>
      </c>
      <c r="B2000" s="4" t="s">
        <v>3999</v>
      </c>
    </row>
    <row r="2001">
      <c r="A2001" s="4" t="s">
        <v>4000</v>
      </c>
      <c r="B2001" s="4" t="s">
        <v>4001</v>
      </c>
    </row>
    <row r="2002">
      <c r="A2002" s="4" t="s">
        <v>4002</v>
      </c>
      <c r="B2002" s="4" t="s">
        <v>4003</v>
      </c>
    </row>
    <row r="2003">
      <c r="A2003" s="4" t="s">
        <v>4004</v>
      </c>
      <c r="B2003" s="4" t="s">
        <v>4005</v>
      </c>
    </row>
    <row r="2004">
      <c r="A2004" s="4" t="s">
        <v>4006</v>
      </c>
      <c r="B2004" s="4" t="s">
        <v>4007</v>
      </c>
    </row>
    <row r="2005">
      <c r="A2005" s="4" t="s">
        <v>4008</v>
      </c>
      <c r="B2005" s="4" t="s">
        <v>4009</v>
      </c>
    </row>
    <row r="2006">
      <c r="A2006" s="4" t="s">
        <v>4010</v>
      </c>
      <c r="B2006" s="4" t="s">
        <v>4011</v>
      </c>
    </row>
    <row r="2007">
      <c r="A2007" s="4" t="s">
        <v>4012</v>
      </c>
      <c r="B2007" s="4" t="s">
        <v>4013</v>
      </c>
    </row>
    <row r="2008">
      <c r="A2008" s="4" t="s">
        <v>4014</v>
      </c>
      <c r="B2008" s="4" t="s">
        <v>4015</v>
      </c>
    </row>
    <row r="2009">
      <c r="A2009" s="4" t="s">
        <v>4016</v>
      </c>
      <c r="B2009" s="4" t="s">
        <v>4017</v>
      </c>
    </row>
    <row r="2010">
      <c r="A2010" s="4" t="s">
        <v>4018</v>
      </c>
      <c r="B2010" s="4" t="s">
        <v>4019</v>
      </c>
    </row>
    <row r="2011">
      <c r="A2011" s="4" t="s">
        <v>4020</v>
      </c>
      <c r="B2011" s="4" t="s">
        <v>4021</v>
      </c>
    </row>
    <row r="2012">
      <c r="A2012" s="4" t="s">
        <v>4022</v>
      </c>
      <c r="B2012" s="4" t="s">
        <v>4023</v>
      </c>
    </row>
    <row r="2013">
      <c r="A2013" s="4" t="s">
        <v>4024</v>
      </c>
      <c r="B2013" s="4" t="s">
        <v>4025</v>
      </c>
    </row>
    <row r="2014">
      <c r="A2014" s="4" t="s">
        <v>4026</v>
      </c>
      <c r="B2014" s="4" t="s">
        <v>4027</v>
      </c>
    </row>
    <row r="2015">
      <c r="A2015" s="4" t="s">
        <v>4028</v>
      </c>
      <c r="B2015" s="4" t="s">
        <v>4029</v>
      </c>
    </row>
    <row r="2016">
      <c r="A2016" s="4" t="s">
        <v>4030</v>
      </c>
      <c r="B2016" s="4" t="s">
        <v>4031</v>
      </c>
    </row>
    <row r="2017">
      <c r="A2017" s="4" t="s">
        <v>4032</v>
      </c>
      <c r="B2017" s="4" t="s">
        <v>4033</v>
      </c>
    </row>
    <row r="2018">
      <c r="A2018" s="4" t="s">
        <v>4034</v>
      </c>
      <c r="B2018" s="4" t="s">
        <v>4035</v>
      </c>
    </row>
    <row r="2019">
      <c r="A2019" s="4" t="s">
        <v>4036</v>
      </c>
      <c r="B2019" s="4" t="s">
        <v>4037</v>
      </c>
    </row>
    <row r="2020">
      <c r="A2020" s="4" t="s">
        <v>4038</v>
      </c>
      <c r="B2020" s="4" t="s">
        <v>4039</v>
      </c>
    </row>
    <row r="2021">
      <c r="A2021" s="4" t="s">
        <v>4040</v>
      </c>
      <c r="B2021" s="4" t="s">
        <v>4041</v>
      </c>
    </row>
    <row r="2022">
      <c r="A2022" s="4" t="s">
        <v>4042</v>
      </c>
      <c r="B2022" s="4" t="s">
        <v>4043</v>
      </c>
    </row>
    <row r="2023">
      <c r="A2023" s="4" t="s">
        <v>4044</v>
      </c>
      <c r="B2023" s="4" t="s">
        <v>4045</v>
      </c>
    </row>
    <row r="2024">
      <c r="A2024" s="4" t="s">
        <v>4046</v>
      </c>
      <c r="B2024" s="4" t="s">
        <v>4047</v>
      </c>
    </row>
    <row r="2025">
      <c r="A2025" s="4" t="s">
        <v>4048</v>
      </c>
      <c r="B2025" s="4" t="s">
        <v>4049</v>
      </c>
    </row>
    <row r="2026">
      <c r="A2026" s="4" t="s">
        <v>4050</v>
      </c>
      <c r="B2026" s="4" t="s">
        <v>4051</v>
      </c>
    </row>
    <row r="2027">
      <c r="A2027" s="4" t="s">
        <v>4052</v>
      </c>
      <c r="B2027" s="4" t="s">
        <v>4053</v>
      </c>
    </row>
    <row r="2028">
      <c r="A2028" s="4" t="s">
        <v>4054</v>
      </c>
      <c r="B2028" s="4" t="s">
        <v>4055</v>
      </c>
    </row>
    <row r="2029">
      <c r="A2029" s="4" t="s">
        <v>4056</v>
      </c>
      <c r="B2029" s="4" t="s">
        <v>4057</v>
      </c>
    </row>
    <row r="2030">
      <c r="A2030" s="4" t="s">
        <v>4058</v>
      </c>
      <c r="B2030" s="4" t="s">
        <v>4059</v>
      </c>
    </row>
    <row r="2031">
      <c r="A2031" s="4" t="s">
        <v>4060</v>
      </c>
      <c r="B2031" s="4" t="s">
        <v>4061</v>
      </c>
    </row>
    <row r="2032">
      <c r="A2032" s="4" t="s">
        <v>4062</v>
      </c>
      <c r="B2032" s="4" t="s">
        <v>4063</v>
      </c>
    </row>
    <row r="2033">
      <c r="A2033" s="4" t="s">
        <v>4064</v>
      </c>
      <c r="B2033" s="4" t="s">
        <v>4065</v>
      </c>
    </row>
    <row r="2034">
      <c r="A2034" s="4" t="s">
        <v>4066</v>
      </c>
      <c r="B2034" s="4" t="s">
        <v>4067</v>
      </c>
    </row>
    <row r="2035">
      <c r="A2035" s="4" t="s">
        <v>4068</v>
      </c>
      <c r="B2035" s="4" t="s">
        <v>4069</v>
      </c>
    </row>
    <row r="2036">
      <c r="A2036" s="4" t="s">
        <v>4070</v>
      </c>
      <c r="B2036" s="4" t="s">
        <v>4071</v>
      </c>
    </row>
    <row r="2037">
      <c r="A2037" s="4" t="s">
        <v>4072</v>
      </c>
      <c r="B2037" s="4" t="s">
        <v>4073</v>
      </c>
    </row>
    <row r="2038">
      <c r="A2038" s="4" t="s">
        <v>4074</v>
      </c>
      <c r="B2038" s="4" t="s">
        <v>4075</v>
      </c>
    </row>
    <row r="2039">
      <c r="A2039" s="4" t="s">
        <v>4076</v>
      </c>
      <c r="B2039" s="4" t="s">
        <v>4077</v>
      </c>
    </row>
    <row r="2040">
      <c r="A2040" s="4" t="s">
        <v>4078</v>
      </c>
      <c r="B2040" s="4" t="s">
        <v>4079</v>
      </c>
    </row>
    <row r="2041">
      <c r="A2041" s="4" t="s">
        <v>4080</v>
      </c>
      <c r="B2041" s="4" t="s">
        <v>4081</v>
      </c>
    </row>
    <row r="2042">
      <c r="A2042" s="4" t="s">
        <v>4082</v>
      </c>
      <c r="B2042" s="4" t="s">
        <v>4083</v>
      </c>
    </row>
    <row r="2043">
      <c r="A2043" s="4" t="s">
        <v>4084</v>
      </c>
      <c r="B2043" s="4" t="s">
        <v>4085</v>
      </c>
    </row>
    <row r="2044">
      <c r="A2044" s="4" t="s">
        <v>4086</v>
      </c>
      <c r="B2044" s="4" t="s">
        <v>4087</v>
      </c>
    </row>
    <row r="2045">
      <c r="A2045" s="4" t="s">
        <v>4088</v>
      </c>
      <c r="B2045" s="4" t="s">
        <v>4089</v>
      </c>
    </row>
    <row r="2046">
      <c r="A2046" s="4" t="s">
        <v>4090</v>
      </c>
      <c r="B2046" s="4" t="s">
        <v>4091</v>
      </c>
    </row>
    <row r="2047">
      <c r="A2047" s="4" t="s">
        <v>4092</v>
      </c>
      <c r="B2047" s="4" t="s">
        <v>4093</v>
      </c>
    </row>
    <row r="2048">
      <c r="A2048" s="4" t="s">
        <v>4094</v>
      </c>
      <c r="B2048" s="4" t="s">
        <v>4095</v>
      </c>
    </row>
    <row r="2049">
      <c r="A2049" s="4" t="s">
        <v>4096</v>
      </c>
      <c r="B2049" s="4" t="s">
        <v>4097</v>
      </c>
    </row>
    <row r="2050">
      <c r="A2050" s="4" t="s">
        <v>4098</v>
      </c>
      <c r="B2050" s="4" t="s">
        <v>4099</v>
      </c>
    </row>
    <row r="2051">
      <c r="A2051" s="4" t="s">
        <v>4100</v>
      </c>
      <c r="B2051" s="4" t="s">
        <v>4101</v>
      </c>
    </row>
    <row r="2052">
      <c r="A2052" s="4" t="s">
        <v>4102</v>
      </c>
      <c r="B2052" s="4" t="s">
        <v>4103</v>
      </c>
    </row>
    <row r="2053">
      <c r="A2053" s="4" t="s">
        <v>4104</v>
      </c>
      <c r="B2053" s="4" t="s">
        <v>4105</v>
      </c>
    </row>
    <row r="2054">
      <c r="A2054" s="4" t="s">
        <v>4106</v>
      </c>
      <c r="B2054" s="4" t="s">
        <v>4107</v>
      </c>
    </row>
    <row r="2055">
      <c r="A2055" s="4" t="s">
        <v>4108</v>
      </c>
      <c r="B2055" s="4" t="s">
        <v>4109</v>
      </c>
    </row>
    <row r="2056">
      <c r="A2056" s="4" t="s">
        <v>4110</v>
      </c>
      <c r="B2056" s="4" t="s">
        <v>4111</v>
      </c>
    </row>
    <row r="2057">
      <c r="A2057" s="4" t="s">
        <v>4112</v>
      </c>
      <c r="B2057" s="4" t="s">
        <v>4113</v>
      </c>
    </row>
    <row r="2058">
      <c r="A2058" s="4" t="s">
        <v>4114</v>
      </c>
      <c r="B2058" s="4" t="s">
        <v>4115</v>
      </c>
    </row>
    <row r="2059">
      <c r="A2059" s="4" t="s">
        <v>4116</v>
      </c>
      <c r="B2059" s="4" t="s">
        <v>4117</v>
      </c>
    </row>
    <row r="2060">
      <c r="A2060" s="4" t="s">
        <v>4118</v>
      </c>
      <c r="B2060" s="4" t="s">
        <v>4119</v>
      </c>
    </row>
    <row r="2061">
      <c r="A2061" s="4" t="s">
        <v>4120</v>
      </c>
      <c r="B2061" s="4" t="s">
        <v>4121</v>
      </c>
    </row>
    <row r="2062">
      <c r="A2062" s="4" t="s">
        <v>4122</v>
      </c>
      <c r="B2062" s="4" t="s">
        <v>4123</v>
      </c>
    </row>
    <row r="2063">
      <c r="A2063" s="4" t="s">
        <v>4124</v>
      </c>
      <c r="B2063" s="4" t="s">
        <v>4125</v>
      </c>
    </row>
    <row r="2064">
      <c r="A2064" s="4" t="s">
        <v>4126</v>
      </c>
      <c r="B2064" s="4" t="s">
        <v>4127</v>
      </c>
    </row>
    <row r="2065">
      <c r="A2065" s="4" t="s">
        <v>4128</v>
      </c>
      <c r="B2065" s="4" t="s">
        <v>4129</v>
      </c>
    </row>
    <row r="2066">
      <c r="A2066" s="4" t="s">
        <v>4130</v>
      </c>
      <c r="B2066" s="4" t="s">
        <v>4131</v>
      </c>
    </row>
    <row r="2067">
      <c r="A2067" s="4" t="s">
        <v>4132</v>
      </c>
      <c r="B2067" s="4" t="s">
        <v>4133</v>
      </c>
    </row>
    <row r="2068">
      <c r="A2068" s="4" t="s">
        <v>4134</v>
      </c>
      <c r="B2068" s="4" t="s">
        <v>4135</v>
      </c>
    </row>
    <row r="2069">
      <c r="A2069" s="4" t="s">
        <v>4136</v>
      </c>
      <c r="B2069" s="4" t="s">
        <v>4137</v>
      </c>
    </row>
    <row r="2070">
      <c r="A2070" s="4" t="s">
        <v>4138</v>
      </c>
      <c r="B2070" s="4" t="s">
        <v>4139</v>
      </c>
    </row>
    <row r="2071">
      <c r="A2071" s="4" t="s">
        <v>4140</v>
      </c>
      <c r="B2071" s="4" t="s">
        <v>4141</v>
      </c>
    </row>
    <row r="2072">
      <c r="A2072" s="4" t="s">
        <v>4142</v>
      </c>
      <c r="B2072" s="4" t="s">
        <v>4143</v>
      </c>
    </row>
    <row r="2073">
      <c r="A2073" s="4" t="s">
        <v>4144</v>
      </c>
      <c r="B2073" s="4" t="s">
        <v>4145</v>
      </c>
    </row>
    <row r="2074">
      <c r="A2074" s="4" t="s">
        <v>4146</v>
      </c>
      <c r="B2074" s="4" t="s">
        <v>4147</v>
      </c>
    </row>
    <row r="2075">
      <c r="A2075" s="4" t="s">
        <v>4148</v>
      </c>
      <c r="B2075" s="4" t="s">
        <v>4149</v>
      </c>
    </row>
    <row r="2076">
      <c r="A2076" s="4" t="s">
        <v>4150</v>
      </c>
      <c r="B2076" s="4" t="s">
        <v>4151</v>
      </c>
    </row>
    <row r="2077">
      <c r="A2077" s="4" t="s">
        <v>4152</v>
      </c>
      <c r="B2077" s="4" t="s">
        <v>4153</v>
      </c>
    </row>
    <row r="2078">
      <c r="A2078" s="4" t="s">
        <v>4154</v>
      </c>
      <c r="B2078" s="4" t="s">
        <v>4155</v>
      </c>
    </row>
    <row r="2079">
      <c r="A2079" s="4" t="s">
        <v>4156</v>
      </c>
      <c r="B2079" s="4" t="s">
        <v>4157</v>
      </c>
    </row>
    <row r="2080">
      <c r="A2080" s="4" t="s">
        <v>4158</v>
      </c>
      <c r="B2080" s="4" t="s">
        <v>4159</v>
      </c>
    </row>
    <row r="2081">
      <c r="A2081" s="4" t="s">
        <v>4160</v>
      </c>
      <c r="B2081" s="4" t="s">
        <v>4161</v>
      </c>
    </row>
    <row r="2082">
      <c r="A2082" s="4" t="s">
        <v>4162</v>
      </c>
      <c r="B2082" s="4" t="s">
        <v>4163</v>
      </c>
    </row>
    <row r="2083">
      <c r="A2083" s="4" t="s">
        <v>4164</v>
      </c>
      <c r="B2083" s="4" t="s">
        <v>4165</v>
      </c>
    </row>
    <row r="2084">
      <c r="A2084" s="4" t="s">
        <v>4166</v>
      </c>
      <c r="B2084" s="4" t="s">
        <v>4167</v>
      </c>
    </row>
    <row r="2085">
      <c r="A2085" s="4" t="s">
        <v>4168</v>
      </c>
      <c r="B2085" s="4" t="s">
        <v>4169</v>
      </c>
    </row>
    <row r="2086">
      <c r="A2086" s="4" t="s">
        <v>4170</v>
      </c>
      <c r="B2086" s="4" t="s">
        <v>4171</v>
      </c>
    </row>
    <row r="2087">
      <c r="A2087" s="4" t="s">
        <v>4172</v>
      </c>
      <c r="B2087" s="4" t="s">
        <v>4173</v>
      </c>
    </row>
    <row r="2088">
      <c r="A2088" s="4" t="s">
        <v>4174</v>
      </c>
      <c r="B2088" s="4" t="s">
        <v>4175</v>
      </c>
    </row>
    <row r="2089">
      <c r="A2089" s="4" t="s">
        <v>4176</v>
      </c>
      <c r="B2089" s="4" t="s">
        <v>4177</v>
      </c>
    </row>
    <row r="2090">
      <c r="A2090" s="4" t="s">
        <v>4178</v>
      </c>
      <c r="B2090" s="4" t="s">
        <v>4179</v>
      </c>
    </row>
    <row r="2091">
      <c r="A2091" s="4" t="s">
        <v>4180</v>
      </c>
      <c r="B2091" s="4" t="s">
        <v>4181</v>
      </c>
    </row>
    <row r="2092">
      <c r="A2092" s="4" t="s">
        <v>4182</v>
      </c>
      <c r="B2092" s="4" t="s">
        <v>4183</v>
      </c>
    </row>
    <row r="2093">
      <c r="A2093" s="4" t="s">
        <v>4184</v>
      </c>
      <c r="B2093" s="4" t="s">
        <v>4185</v>
      </c>
    </row>
    <row r="2094">
      <c r="A2094" s="4" t="s">
        <v>4186</v>
      </c>
      <c r="B2094" s="4" t="s">
        <v>4187</v>
      </c>
    </row>
    <row r="2095">
      <c r="A2095" s="4" t="s">
        <v>4188</v>
      </c>
      <c r="B2095" s="4" t="s">
        <v>4189</v>
      </c>
    </row>
    <row r="2096">
      <c r="A2096" s="4" t="s">
        <v>4190</v>
      </c>
      <c r="B2096" s="4" t="s">
        <v>4191</v>
      </c>
    </row>
    <row r="2097">
      <c r="A2097" s="4" t="s">
        <v>4192</v>
      </c>
      <c r="B2097" s="4" t="s">
        <v>4193</v>
      </c>
    </row>
    <row r="2098">
      <c r="A2098" s="4" t="s">
        <v>4194</v>
      </c>
      <c r="B2098" s="4" t="s">
        <v>4195</v>
      </c>
    </row>
    <row r="2099">
      <c r="A2099" s="4" t="s">
        <v>4196</v>
      </c>
      <c r="B2099" s="4" t="s">
        <v>4197</v>
      </c>
    </row>
    <row r="2100">
      <c r="A2100" s="4" t="s">
        <v>4198</v>
      </c>
      <c r="B2100" s="4" t="s">
        <v>4199</v>
      </c>
    </row>
    <row r="2101">
      <c r="A2101" s="4" t="s">
        <v>4200</v>
      </c>
      <c r="B2101" s="4" t="s">
        <v>4201</v>
      </c>
    </row>
    <row r="2102">
      <c r="A2102" s="4" t="s">
        <v>4202</v>
      </c>
      <c r="B2102" s="4" t="s">
        <v>4203</v>
      </c>
    </row>
    <row r="2103">
      <c r="A2103" s="4" t="s">
        <v>4204</v>
      </c>
      <c r="B2103" s="4" t="s">
        <v>4205</v>
      </c>
    </row>
    <row r="2104">
      <c r="A2104" s="4" t="s">
        <v>4206</v>
      </c>
      <c r="B2104" s="4" t="s">
        <v>4207</v>
      </c>
    </row>
    <row r="2105">
      <c r="A2105" s="4" t="s">
        <v>4208</v>
      </c>
      <c r="B2105" s="4" t="s">
        <v>4209</v>
      </c>
    </row>
    <row r="2106">
      <c r="A2106" s="4" t="s">
        <v>4210</v>
      </c>
      <c r="B2106" s="4" t="s">
        <v>4211</v>
      </c>
    </row>
    <row r="2107">
      <c r="A2107" s="4" t="s">
        <v>4212</v>
      </c>
      <c r="B2107" s="4" t="s">
        <v>4213</v>
      </c>
    </row>
    <row r="2108">
      <c r="A2108" s="4" t="s">
        <v>4214</v>
      </c>
      <c r="B2108" s="4" t="s">
        <v>4215</v>
      </c>
    </row>
    <row r="2109">
      <c r="A2109" s="4" t="s">
        <v>4216</v>
      </c>
      <c r="B2109" s="4" t="s">
        <v>4217</v>
      </c>
    </row>
    <row r="2110">
      <c r="A2110" s="4" t="s">
        <v>4218</v>
      </c>
      <c r="B2110" s="4" t="s">
        <v>4219</v>
      </c>
    </row>
    <row r="2111">
      <c r="A2111" s="4" t="s">
        <v>4220</v>
      </c>
      <c r="B2111" s="4" t="s">
        <v>4221</v>
      </c>
    </row>
    <row r="2112">
      <c r="A2112" s="4" t="s">
        <v>4222</v>
      </c>
      <c r="B2112" s="4" t="s">
        <v>4223</v>
      </c>
    </row>
    <row r="2113">
      <c r="A2113" s="4" t="s">
        <v>4224</v>
      </c>
      <c r="B2113" s="4" t="s">
        <v>4225</v>
      </c>
    </row>
    <row r="2114">
      <c r="A2114" s="4" t="s">
        <v>4226</v>
      </c>
      <c r="B2114" s="4" t="s">
        <v>4227</v>
      </c>
    </row>
    <row r="2115">
      <c r="A2115" s="4" t="s">
        <v>4228</v>
      </c>
      <c r="B2115" s="4" t="s">
        <v>4229</v>
      </c>
    </row>
    <row r="2116">
      <c r="A2116" s="4" t="s">
        <v>4230</v>
      </c>
      <c r="B2116" s="4" t="s">
        <v>4231</v>
      </c>
    </row>
    <row r="2117">
      <c r="A2117" s="4" t="s">
        <v>4232</v>
      </c>
      <c r="B2117" s="4" t="s">
        <v>4233</v>
      </c>
    </row>
    <row r="2118">
      <c r="A2118" s="4" t="s">
        <v>4234</v>
      </c>
      <c r="B2118" s="4" t="s">
        <v>4235</v>
      </c>
    </row>
    <row r="2119">
      <c r="A2119" s="4" t="s">
        <v>4236</v>
      </c>
      <c r="B2119" s="4" t="s">
        <v>4237</v>
      </c>
    </row>
    <row r="2120">
      <c r="A2120" s="4" t="s">
        <v>4238</v>
      </c>
      <c r="B2120" s="4" t="s">
        <v>4239</v>
      </c>
    </row>
    <row r="2121">
      <c r="A2121" s="4" t="s">
        <v>4240</v>
      </c>
      <c r="B2121" s="4" t="s">
        <v>4241</v>
      </c>
    </row>
    <row r="2122">
      <c r="A2122" s="4" t="s">
        <v>4242</v>
      </c>
      <c r="B2122" s="4" t="s">
        <v>4243</v>
      </c>
    </row>
    <row r="2123">
      <c r="A2123" s="4" t="s">
        <v>4244</v>
      </c>
      <c r="B2123" s="4" t="s">
        <v>4245</v>
      </c>
    </row>
    <row r="2124">
      <c r="A2124" s="4" t="s">
        <v>4246</v>
      </c>
      <c r="B2124" s="4" t="s">
        <v>4247</v>
      </c>
    </row>
    <row r="2125">
      <c r="A2125" s="4" t="s">
        <v>4248</v>
      </c>
      <c r="B2125" s="4" t="s">
        <v>4249</v>
      </c>
    </row>
    <row r="2126">
      <c r="A2126" s="4" t="s">
        <v>4250</v>
      </c>
      <c r="B2126" s="4" t="s">
        <v>4251</v>
      </c>
    </row>
    <row r="2127">
      <c r="A2127" s="4" t="s">
        <v>4252</v>
      </c>
      <c r="B2127" s="4" t="s">
        <v>4253</v>
      </c>
    </row>
    <row r="2128">
      <c r="A2128" s="4" t="s">
        <v>4254</v>
      </c>
      <c r="B2128" s="4" t="s">
        <v>4255</v>
      </c>
    </row>
    <row r="2129">
      <c r="A2129" s="4" t="s">
        <v>4256</v>
      </c>
      <c r="B2129" s="4" t="s">
        <v>4257</v>
      </c>
    </row>
    <row r="2130">
      <c r="A2130" s="4" t="s">
        <v>4258</v>
      </c>
      <c r="B2130" s="4" t="s">
        <v>4259</v>
      </c>
    </row>
    <row r="2131">
      <c r="A2131" s="4" t="s">
        <v>4260</v>
      </c>
      <c r="B2131" s="4" t="s">
        <v>4261</v>
      </c>
    </row>
    <row r="2132">
      <c r="A2132" s="4" t="s">
        <v>4262</v>
      </c>
      <c r="B2132" s="4" t="s">
        <v>4263</v>
      </c>
    </row>
    <row r="2133">
      <c r="A2133" s="4" t="s">
        <v>4264</v>
      </c>
      <c r="B2133" s="4" t="s">
        <v>4265</v>
      </c>
    </row>
    <row r="2134">
      <c r="A2134" s="4" t="s">
        <v>4266</v>
      </c>
      <c r="B2134" s="4" t="s">
        <v>4267</v>
      </c>
    </row>
    <row r="2135">
      <c r="A2135" s="4" t="s">
        <v>4268</v>
      </c>
      <c r="B2135" s="4" t="s">
        <v>4269</v>
      </c>
    </row>
    <row r="2136">
      <c r="A2136" s="4" t="s">
        <v>4270</v>
      </c>
      <c r="B2136" s="4" t="s">
        <v>4271</v>
      </c>
    </row>
    <row r="2137">
      <c r="A2137" s="4" t="s">
        <v>4272</v>
      </c>
      <c r="B2137" s="4" t="s">
        <v>4273</v>
      </c>
    </row>
    <row r="2138">
      <c r="A2138" s="4" t="s">
        <v>4274</v>
      </c>
      <c r="B2138" s="4" t="s">
        <v>4275</v>
      </c>
    </row>
    <row r="2139">
      <c r="A2139" s="4" t="s">
        <v>4276</v>
      </c>
      <c r="B2139" s="4" t="s">
        <v>4277</v>
      </c>
    </row>
    <row r="2140">
      <c r="A2140" s="4" t="s">
        <v>4278</v>
      </c>
      <c r="B2140" s="4" t="s">
        <v>4279</v>
      </c>
    </row>
    <row r="2141">
      <c r="A2141" s="4" t="s">
        <v>4280</v>
      </c>
      <c r="B2141" s="4" t="s">
        <v>4281</v>
      </c>
    </row>
    <row r="2142">
      <c r="A2142" s="4" t="s">
        <v>4282</v>
      </c>
      <c r="B2142" s="4" t="s">
        <v>4283</v>
      </c>
    </row>
    <row r="2143">
      <c r="A2143" s="4" t="s">
        <v>4284</v>
      </c>
      <c r="B2143" s="4" t="s">
        <v>4285</v>
      </c>
    </row>
    <row r="2144">
      <c r="A2144" s="4" t="s">
        <v>4286</v>
      </c>
      <c r="B2144" s="4" t="s">
        <v>4287</v>
      </c>
    </row>
    <row r="2145">
      <c r="A2145" s="4" t="s">
        <v>4288</v>
      </c>
      <c r="B2145" s="4" t="s">
        <v>4289</v>
      </c>
    </row>
    <row r="2146">
      <c r="A2146" s="4" t="s">
        <v>4290</v>
      </c>
      <c r="B2146" s="4" t="s">
        <v>4291</v>
      </c>
    </row>
    <row r="2147">
      <c r="A2147" s="4" t="s">
        <v>4292</v>
      </c>
      <c r="B2147" s="4" t="s">
        <v>4293</v>
      </c>
    </row>
    <row r="2148">
      <c r="A2148" s="4" t="s">
        <v>4294</v>
      </c>
      <c r="B2148" s="4" t="s">
        <v>4295</v>
      </c>
    </row>
    <row r="2149">
      <c r="A2149" s="4" t="s">
        <v>4296</v>
      </c>
      <c r="B2149" s="4" t="s">
        <v>4297</v>
      </c>
    </row>
    <row r="2150">
      <c r="A2150" s="4" t="s">
        <v>4298</v>
      </c>
      <c r="B2150" s="4" t="s">
        <v>4299</v>
      </c>
    </row>
    <row r="2151">
      <c r="A2151" s="4" t="s">
        <v>4300</v>
      </c>
      <c r="B2151" s="4" t="s">
        <v>4301</v>
      </c>
    </row>
    <row r="2152">
      <c r="A2152" s="4" t="s">
        <v>4302</v>
      </c>
      <c r="B2152" s="4" t="s">
        <v>4303</v>
      </c>
    </row>
    <row r="2153">
      <c r="A2153" s="4" t="s">
        <v>4304</v>
      </c>
      <c r="B2153" s="4" t="s">
        <v>4305</v>
      </c>
    </row>
    <row r="2154">
      <c r="A2154" s="4" t="s">
        <v>4306</v>
      </c>
      <c r="B2154" s="4" t="s">
        <v>4307</v>
      </c>
    </row>
    <row r="2155">
      <c r="A2155" s="4" t="s">
        <v>4308</v>
      </c>
      <c r="B2155" s="4" t="s">
        <v>4309</v>
      </c>
    </row>
    <row r="2156">
      <c r="A2156" s="4" t="s">
        <v>4310</v>
      </c>
      <c r="B2156" s="4" t="s">
        <v>4311</v>
      </c>
    </row>
    <row r="2157">
      <c r="A2157" s="4" t="s">
        <v>4312</v>
      </c>
      <c r="B2157" s="4" t="s">
        <v>4313</v>
      </c>
    </row>
    <row r="2158">
      <c r="A2158" s="4" t="s">
        <v>4314</v>
      </c>
      <c r="B2158" s="4" t="s">
        <v>4315</v>
      </c>
    </row>
    <row r="2159">
      <c r="A2159" s="4" t="s">
        <v>4316</v>
      </c>
      <c r="B2159" s="4" t="s">
        <v>4317</v>
      </c>
    </row>
    <row r="2160">
      <c r="A2160" s="4" t="s">
        <v>4318</v>
      </c>
      <c r="B2160" s="4" t="s">
        <v>4319</v>
      </c>
    </row>
    <row r="2161">
      <c r="A2161" s="4" t="s">
        <v>4320</v>
      </c>
      <c r="B2161" s="4" t="s">
        <v>4321</v>
      </c>
    </row>
    <row r="2162">
      <c r="A2162" s="4" t="s">
        <v>4322</v>
      </c>
      <c r="B2162" s="4" t="s">
        <v>4323</v>
      </c>
    </row>
    <row r="2163">
      <c r="A2163" s="4" t="s">
        <v>4324</v>
      </c>
      <c r="B2163" s="4" t="s">
        <v>4325</v>
      </c>
    </row>
    <row r="2164">
      <c r="A2164" s="4" t="s">
        <v>4326</v>
      </c>
      <c r="B2164" s="4" t="s">
        <v>4327</v>
      </c>
    </row>
    <row r="2165">
      <c r="A2165" s="4" t="s">
        <v>4328</v>
      </c>
      <c r="B2165" s="4" t="s">
        <v>4329</v>
      </c>
    </row>
    <row r="2166">
      <c r="A2166" s="4" t="s">
        <v>4330</v>
      </c>
      <c r="B2166" s="4" t="s">
        <v>4331</v>
      </c>
    </row>
    <row r="2167">
      <c r="A2167" s="4" t="s">
        <v>4332</v>
      </c>
      <c r="B2167" s="4" t="s">
        <v>4333</v>
      </c>
    </row>
    <row r="2168">
      <c r="A2168" s="4" t="s">
        <v>4334</v>
      </c>
      <c r="B2168" s="4" t="s">
        <v>4335</v>
      </c>
    </row>
    <row r="2169">
      <c r="A2169" s="4" t="s">
        <v>4336</v>
      </c>
      <c r="B2169" s="4" t="s">
        <v>4337</v>
      </c>
    </row>
    <row r="2170">
      <c r="A2170" s="4" t="s">
        <v>4338</v>
      </c>
      <c r="B2170" s="4" t="s">
        <v>4339</v>
      </c>
    </row>
    <row r="2171">
      <c r="A2171" s="4" t="s">
        <v>4340</v>
      </c>
      <c r="B2171" s="4" t="s">
        <v>4341</v>
      </c>
    </row>
    <row r="2172">
      <c r="A2172" s="4" t="s">
        <v>4342</v>
      </c>
      <c r="B2172" s="4" t="s">
        <v>4343</v>
      </c>
    </row>
    <row r="2173">
      <c r="A2173" s="4" t="s">
        <v>4344</v>
      </c>
      <c r="B2173" s="4" t="s">
        <v>4345</v>
      </c>
    </row>
    <row r="2174">
      <c r="A2174" s="4" t="s">
        <v>4346</v>
      </c>
      <c r="B2174" s="4" t="s">
        <v>4347</v>
      </c>
    </row>
    <row r="2175">
      <c r="A2175" s="4" t="s">
        <v>4348</v>
      </c>
      <c r="B2175" s="4" t="s">
        <v>4349</v>
      </c>
    </row>
    <row r="2176">
      <c r="A2176" s="4" t="s">
        <v>4350</v>
      </c>
      <c r="B2176" s="4" t="s">
        <v>4351</v>
      </c>
    </row>
    <row r="2177">
      <c r="A2177" s="4" t="s">
        <v>4352</v>
      </c>
      <c r="B2177" s="4" t="s">
        <v>4353</v>
      </c>
    </row>
    <row r="2178">
      <c r="A2178" s="4" t="s">
        <v>4354</v>
      </c>
      <c r="B2178" s="4" t="s">
        <v>4355</v>
      </c>
    </row>
    <row r="2179">
      <c r="A2179" s="4" t="s">
        <v>4356</v>
      </c>
      <c r="B2179" s="4" t="s">
        <v>4357</v>
      </c>
    </row>
    <row r="2180">
      <c r="A2180" s="4" t="s">
        <v>4358</v>
      </c>
      <c r="B2180" s="4" t="s">
        <v>4359</v>
      </c>
    </row>
    <row r="2181">
      <c r="A2181" s="4" t="s">
        <v>4360</v>
      </c>
      <c r="B2181" s="4" t="s">
        <v>4361</v>
      </c>
    </row>
    <row r="2182">
      <c r="A2182" s="4" t="s">
        <v>4362</v>
      </c>
      <c r="B2182" s="4" t="s">
        <v>4363</v>
      </c>
    </row>
    <row r="2183">
      <c r="A2183" s="4" t="s">
        <v>4364</v>
      </c>
      <c r="B2183" s="4" t="s">
        <v>4365</v>
      </c>
    </row>
    <row r="2184">
      <c r="A2184" s="4" t="s">
        <v>4366</v>
      </c>
      <c r="B2184" s="4" t="s">
        <v>4367</v>
      </c>
    </row>
    <row r="2185">
      <c r="A2185" s="4" t="s">
        <v>4368</v>
      </c>
      <c r="B2185" s="4" t="s">
        <v>4369</v>
      </c>
    </row>
    <row r="2186">
      <c r="A2186" s="4" t="s">
        <v>4370</v>
      </c>
      <c r="B2186" s="4" t="s">
        <v>4371</v>
      </c>
    </row>
    <row r="2187">
      <c r="A2187" s="4" t="s">
        <v>4372</v>
      </c>
      <c r="B2187" s="4" t="s">
        <v>4373</v>
      </c>
    </row>
    <row r="2188">
      <c r="A2188" s="4" t="s">
        <v>4374</v>
      </c>
      <c r="B2188" s="4" t="s">
        <v>4375</v>
      </c>
    </row>
    <row r="2189">
      <c r="A2189" s="4" t="s">
        <v>4376</v>
      </c>
      <c r="B2189" s="4" t="s">
        <v>4377</v>
      </c>
    </row>
    <row r="2190">
      <c r="A2190" s="4" t="s">
        <v>4378</v>
      </c>
      <c r="B2190" s="4" t="s">
        <v>4379</v>
      </c>
    </row>
    <row r="2191">
      <c r="A2191" s="4" t="s">
        <v>4380</v>
      </c>
      <c r="B2191" s="4" t="s">
        <v>4381</v>
      </c>
    </row>
    <row r="2192">
      <c r="A2192" s="4" t="s">
        <v>4382</v>
      </c>
      <c r="B2192" s="4" t="s">
        <v>4383</v>
      </c>
    </row>
    <row r="2193">
      <c r="A2193" s="4" t="s">
        <v>4384</v>
      </c>
      <c r="B2193" s="4" t="s">
        <v>4385</v>
      </c>
    </row>
    <row r="2194">
      <c r="A2194" s="4" t="s">
        <v>4386</v>
      </c>
      <c r="B2194" s="4" t="s">
        <v>4387</v>
      </c>
    </row>
    <row r="2195">
      <c r="A2195" s="4" t="s">
        <v>4388</v>
      </c>
      <c r="B2195" s="4" t="s">
        <v>4389</v>
      </c>
    </row>
    <row r="2196">
      <c r="A2196" s="4" t="s">
        <v>4390</v>
      </c>
      <c r="B2196" s="4" t="s">
        <v>4391</v>
      </c>
    </row>
    <row r="2197">
      <c r="A2197" s="4" t="s">
        <v>4392</v>
      </c>
      <c r="B2197" s="4" t="s">
        <v>4393</v>
      </c>
    </row>
    <row r="2198">
      <c r="A2198" s="4" t="s">
        <v>4394</v>
      </c>
      <c r="B2198" s="4" t="s">
        <v>4395</v>
      </c>
    </row>
    <row r="2199">
      <c r="A2199" s="4" t="s">
        <v>4396</v>
      </c>
      <c r="B2199" s="4" t="s">
        <v>4397</v>
      </c>
    </row>
    <row r="2200">
      <c r="A2200" s="4" t="s">
        <v>4398</v>
      </c>
      <c r="B2200" s="4" t="s">
        <v>4399</v>
      </c>
    </row>
    <row r="2201">
      <c r="A2201" s="4" t="s">
        <v>4400</v>
      </c>
      <c r="B2201" s="4" t="s">
        <v>4401</v>
      </c>
    </row>
    <row r="2202">
      <c r="A2202" s="4" t="s">
        <v>4402</v>
      </c>
      <c r="B2202" s="4" t="s">
        <v>4403</v>
      </c>
    </row>
    <row r="2203">
      <c r="A2203" s="4" t="s">
        <v>4404</v>
      </c>
      <c r="B2203" s="4" t="s">
        <v>4405</v>
      </c>
    </row>
    <row r="2204">
      <c r="A2204" s="4" t="s">
        <v>4406</v>
      </c>
      <c r="B2204" s="4" t="s">
        <v>4407</v>
      </c>
    </row>
    <row r="2205">
      <c r="A2205" s="4" t="s">
        <v>4408</v>
      </c>
      <c r="B2205" s="4" t="s">
        <v>4409</v>
      </c>
    </row>
    <row r="2206">
      <c r="A2206" s="4" t="s">
        <v>4410</v>
      </c>
      <c r="B2206" s="4" t="s">
        <v>4411</v>
      </c>
    </row>
    <row r="2207">
      <c r="A2207" s="4" t="s">
        <v>4412</v>
      </c>
      <c r="B2207" s="4" t="s">
        <v>4413</v>
      </c>
    </row>
    <row r="2208">
      <c r="A2208" s="4" t="s">
        <v>4414</v>
      </c>
      <c r="B2208" s="4" t="s">
        <v>4415</v>
      </c>
    </row>
    <row r="2209">
      <c r="A2209" s="4" t="s">
        <v>4416</v>
      </c>
      <c r="B2209" s="4" t="s">
        <v>4417</v>
      </c>
    </row>
    <row r="2210">
      <c r="A2210" s="4" t="s">
        <v>4418</v>
      </c>
      <c r="B2210" s="4" t="s">
        <v>4419</v>
      </c>
    </row>
    <row r="2211">
      <c r="A2211" s="4" t="s">
        <v>4420</v>
      </c>
      <c r="B2211" s="4" t="s">
        <v>4421</v>
      </c>
    </row>
    <row r="2212">
      <c r="A2212" s="4" t="s">
        <v>4422</v>
      </c>
      <c r="B2212" s="4" t="s">
        <v>4423</v>
      </c>
    </row>
    <row r="2213">
      <c r="A2213" s="4" t="s">
        <v>4424</v>
      </c>
      <c r="B2213" s="4" t="s">
        <v>4425</v>
      </c>
    </row>
    <row r="2214">
      <c r="A2214" s="4" t="s">
        <v>4426</v>
      </c>
      <c r="B2214" s="4" t="s">
        <v>4427</v>
      </c>
    </row>
    <row r="2215">
      <c r="A2215" s="4" t="s">
        <v>4428</v>
      </c>
      <c r="B2215" s="4" t="s">
        <v>4429</v>
      </c>
    </row>
    <row r="2216">
      <c r="A2216" s="4" t="s">
        <v>4430</v>
      </c>
      <c r="B2216" s="4" t="s">
        <v>4431</v>
      </c>
    </row>
    <row r="2217">
      <c r="A2217" s="4" t="s">
        <v>4432</v>
      </c>
      <c r="B2217" s="4" t="s">
        <v>4433</v>
      </c>
    </row>
    <row r="2218">
      <c r="A2218" s="4" t="s">
        <v>4434</v>
      </c>
      <c r="B2218" s="4" t="s">
        <v>4435</v>
      </c>
    </row>
    <row r="2219">
      <c r="A2219" s="4" t="s">
        <v>4436</v>
      </c>
      <c r="B2219" s="4" t="s">
        <v>4437</v>
      </c>
    </row>
    <row r="2220">
      <c r="A2220" s="4" t="s">
        <v>4438</v>
      </c>
      <c r="B2220" s="4" t="s">
        <v>4439</v>
      </c>
    </row>
    <row r="2221">
      <c r="A2221" s="4" t="s">
        <v>4440</v>
      </c>
      <c r="B2221" s="4" t="s">
        <v>4441</v>
      </c>
    </row>
    <row r="2222">
      <c r="A2222" s="4" t="s">
        <v>4442</v>
      </c>
      <c r="B2222" s="4" t="s">
        <v>4443</v>
      </c>
    </row>
    <row r="2223">
      <c r="A2223" s="4" t="s">
        <v>4444</v>
      </c>
      <c r="B2223" s="4" t="s">
        <v>4445</v>
      </c>
    </row>
    <row r="2224">
      <c r="A2224" s="4" t="s">
        <v>4446</v>
      </c>
      <c r="B2224" s="4" t="s">
        <v>4447</v>
      </c>
    </row>
    <row r="2225">
      <c r="A2225" s="4" t="s">
        <v>4448</v>
      </c>
      <c r="B2225" s="4" t="s">
        <v>4449</v>
      </c>
    </row>
    <row r="2226">
      <c r="A2226" s="4" t="s">
        <v>4450</v>
      </c>
      <c r="B2226" s="4" t="s">
        <v>4451</v>
      </c>
    </row>
    <row r="2227">
      <c r="A2227" s="4" t="s">
        <v>4452</v>
      </c>
      <c r="B2227" s="4" t="s">
        <v>4453</v>
      </c>
    </row>
    <row r="2228">
      <c r="A2228" s="4" t="s">
        <v>4454</v>
      </c>
      <c r="B2228" s="4" t="s">
        <v>4455</v>
      </c>
    </row>
    <row r="2229">
      <c r="A2229" s="4" t="s">
        <v>4456</v>
      </c>
      <c r="B2229" s="4" t="s">
        <v>4457</v>
      </c>
    </row>
    <row r="2230">
      <c r="A2230" s="4" t="s">
        <v>4458</v>
      </c>
      <c r="B2230" s="4" t="s">
        <v>4459</v>
      </c>
    </row>
    <row r="2231">
      <c r="A2231" s="4" t="s">
        <v>4460</v>
      </c>
      <c r="B2231" s="4" t="s">
        <v>4461</v>
      </c>
    </row>
    <row r="2232">
      <c r="A2232" s="4" t="s">
        <v>4462</v>
      </c>
      <c r="B2232" s="4" t="s">
        <v>4463</v>
      </c>
    </row>
    <row r="2233">
      <c r="A2233" s="4" t="s">
        <v>4464</v>
      </c>
      <c r="B2233" s="4" t="s">
        <v>4465</v>
      </c>
    </row>
    <row r="2234">
      <c r="A2234" s="4" t="s">
        <v>4466</v>
      </c>
      <c r="B2234" s="4" t="s">
        <v>4467</v>
      </c>
    </row>
    <row r="2235">
      <c r="A2235" s="4" t="s">
        <v>4468</v>
      </c>
      <c r="B2235" s="4" t="s">
        <v>4469</v>
      </c>
    </row>
    <row r="2236">
      <c r="A2236" s="4" t="s">
        <v>4470</v>
      </c>
      <c r="B2236" s="4" t="s">
        <v>4471</v>
      </c>
    </row>
    <row r="2237">
      <c r="A2237" s="4" t="s">
        <v>4472</v>
      </c>
      <c r="B2237" s="4" t="s">
        <v>4473</v>
      </c>
    </row>
    <row r="2238">
      <c r="A2238" s="4" t="s">
        <v>4474</v>
      </c>
      <c r="B2238" s="4" t="s">
        <v>4475</v>
      </c>
    </row>
    <row r="2239">
      <c r="A2239" s="4" t="s">
        <v>4476</v>
      </c>
      <c r="B2239" s="4" t="s">
        <v>4477</v>
      </c>
    </row>
    <row r="2240">
      <c r="A2240" s="4" t="s">
        <v>4478</v>
      </c>
      <c r="B2240" s="4" t="s">
        <v>4479</v>
      </c>
    </row>
    <row r="2241">
      <c r="A2241" s="4" t="s">
        <v>4480</v>
      </c>
      <c r="B2241" s="4" t="s">
        <v>4481</v>
      </c>
    </row>
    <row r="2242">
      <c r="A2242" s="4" t="s">
        <v>4482</v>
      </c>
      <c r="B2242" s="4" t="s">
        <v>4483</v>
      </c>
    </row>
    <row r="2243">
      <c r="A2243" s="4" t="s">
        <v>4484</v>
      </c>
      <c r="B2243" s="4" t="s">
        <v>4485</v>
      </c>
    </row>
    <row r="2244">
      <c r="A2244" s="4" t="s">
        <v>4486</v>
      </c>
      <c r="B2244" s="4" t="s">
        <v>4487</v>
      </c>
    </row>
    <row r="2245">
      <c r="A2245" s="4" t="s">
        <v>4488</v>
      </c>
      <c r="B2245" s="4" t="s">
        <v>4489</v>
      </c>
    </row>
    <row r="2246">
      <c r="A2246" s="4" t="s">
        <v>4490</v>
      </c>
      <c r="B2246" s="4" t="s">
        <v>4491</v>
      </c>
    </row>
    <row r="2247">
      <c r="A2247" s="4" t="s">
        <v>4492</v>
      </c>
      <c r="B2247" s="4" t="s">
        <v>4493</v>
      </c>
    </row>
    <row r="2248">
      <c r="A2248" s="4" t="s">
        <v>4494</v>
      </c>
      <c r="B2248" s="4" t="s">
        <v>4495</v>
      </c>
    </row>
    <row r="2249">
      <c r="A2249" s="4" t="s">
        <v>4496</v>
      </c>
      <c r="B2249" s="4" t="s">
        <v>4497</v>
      </c>
    </row>
    <row r="2250">
      <c r="A2250" s="4" t="s">
        <v>4498</v>
      </c>
      <c r="B2250" s="4" t="s">
        <v>4499</v>
      </c>
    </row>
    <row r="2251">
      <c r="A2251" s="4" t="s">
        <v>4500</v>
      </c>
      <c r="B2251" s="4" t="s">
        <v>4501</v>
      </c>
    </row>
    <row r="2252">
      <c r="A2252" s="4" t="s">
        <v>4502</v>
      </c>
      <c r="B2252" s="4" t="s">
        <v>4503</v>
      </c>
    </row>
    <row r="2253">
      <c r="A2253" s="4" t="s">
        <v>4504</v>
      </c>
      <c r="B2253" s="4" t="s">
        <v>4505</v>
      </c>
    </row>
    <row r="2254">
      <c r="A2254" s="4" t="s">
        <v>4506</v>
      </c>
      <c r="B2254" s="4" t="s">
        <v>4507</v>
      </c>
    </row>
    <row r="2255">
      <c r="A2255" s="4" t="s">
        <v>4508</v>
      </c>
      <c r="B2255" s="4" t="s">
        <v>4509</v>
      </c>
    </row>
    <row r="2256">
      <c r="A2256" s="4" t="s">
        <v>4510</v>
      </c>
      <c r="B2256" s="4" t="s">
        <v>4511</v>
      </c>
    </row>
    <row r="2257">
      <c r="A2257" s="4" t="s">
        <v>4512</v>
      </c>
      <c r="B2257" s="4" t="s">
        <v>4513</v>
      </c>
    </row>
    <row r="2258">
      <c r="A2258" s="4" t="s">
        <v>4514</v>
      </c>
      <c r="B2258" s="4" t="s">
        <v>4515</v>
      </c>
    </row>
    <row r="2259">
      <c r="A2259" s="4" t="s">
        <v>4516</v>
      </c>
      <c r="B2259" s="4" t="s">
        <v>4517</v>
      </c>
    </row>
    <row r="2260">
      <c r="A2260" s="4" t="s">
        <v>4518</v>
      </c>
      <c r="B2260" s="4" t="s">
        <v>4519</v>
      </c>
    </row>
    <row r="2261">
      <c r="A2261" s="4" t="s">
        <v>4520</v>
      </c>
      <c r="B2261" s="4" t="s">
        <v>4521</v>
      </c>
    </row>
    <row r="2262">
      <c r="A2262" s="4" t="s">
        <v>4522</v>
      </c>
      <c r="B2262" s="4" t="s">
        <v>4523</v>
      </c>
    </row>
    <row r="2263">
      <c r="A2263" s="4" t="s">
        <v>4524</v>
      </c>
      <c r="B2263" s="4" t="s">
        <v>4525</v>
      </c>
    </row>
    <row r="2264">
      <c r="A2264" s="4" t="s">
        <v>4526</v>
      </c>
      <c r="B2264" s="4" t="s">
        <v>4527</v>
      </c>
    </row>
    <row r="2265">
      <c r="A2265" s="4" t="s">
        <v>4528</v>
      </c>
      <c r="B2265" s="4" t="s">
        <v>4529</v>
      </c>
    </row>
    <row r="2266">
      <c r="A2266" s="4" t="s">
        <v>4530</v>
      </c>
      <c r="B2266" s="4" t="s">
        <v>4531</v>
      </c>
    </row>
    <row r="2267">
      <c r="A2267" s="4" t="s">
        <v>4532</v>
      </c>
      <c r="B2267" s="4" t="s">
        <v>4533</v>
      </c>
    </row>
    <row r="2268">
      <c r="A2268" s="4" t="s">
        <v>4534</v>
      </c>
      <c r="B2268" s="4" t="s">
        <v>4535</v>
      </c>
    </row>
    <row r="2269">
      <c r="A2269" s="4" t="s">
        <v>4536</v>
      </c>
      <c r="B2269" s="4" t="s">
        <v>4537</v>
      </c>
    </row>
    <row r="2270">
      <c r="A2270" s="4" t="s">
        <v>4538</v>
      </c>
      <c r="B2270" s="4" t="s">
        <v>4539</v>
      </c>
    </row>
    <row r="2271">
      <c r="A2271" s="4" t="s">
        <v>4540</v>
      </c>
      <c r="B2271" s="4" t="s">
        <v>4541</v>
      </c>
    </row>
    <row r="2272">
      <c r="A2272" s="4" t="s">
        <v>4542</v>
      </c>
      <c r="B2272" s="4" t="s">
        <v>4543</v>
      </c>
    </row>
    <row r="2273">
      <c r="A2273" s="4" t="s">
        <v>4544</v>
      </c>
      <c r="B2273" s="4" t="s">
        <v>4545</v>
      </c>
    </row>
    <row r="2274">
      <c r="A2274" s="4" t="s">
        <v>4546</v>
      </c>
      <c r="B2274" s="4" t="s">
        <v>4547</v>
      </c>
    </row>
    <row r="2275">
      <c r="A2275" s="4" t="s">
        <v>4548</v>
      </c>
      <c r="B2275" s="4" t="s">
        <v>4549</v>
      </c>
    </row>
    <row r="2276">
      <c r="A2276" s="4" t="s">
        <v>4550</v>
      </c>
      <c r="B2276" s="4" t="s">
        <v>4551</v>
      </c>
    </row>
    <row r="2277">
      <c r="A2277" s="4" t="s">
        <v>4552</v>
      </c>
      <c r="B2277" s="4" t="s">
        <v>4553</v>
      </c>
    </row>
    <row r="2278">
      <c r="A2278" s="4" t="s">
        <v>4554</v>
      </c>
      <c r="B2278" s="4" t="s">
        <v>4555</v>
      </c>
    </row>
    <row r="2279">
      <c r="A2279" s="4" t="s">
        <v>4556</v>
      </c>
      <c r="B2279" s="4" t="s">
        <v>4557</v>
      </c>
    </row>
    <row r="2280">
      <c r="A2280" s="4" t="s">
        <v>4558</v>
      </c>
      <c r="B2280" s="4" t="s">
        <v>4559</v>
      </c>
    </row>
    <row r="2281">
      <c r="A2281" s="4" t="s">
        <v>4560</v>
      </c>
      <c r="B2281" s="4" t="s">
        <v>4561</v>
      </c>
    </row>
    <row r="2282">
      <c r="A2282" s="4" t="s">
        <v>4562</v>
      </c>
      <c r="B2282" s="4" t="s">
        <v>4563</v>
      </c>
    </row>
    <row r="2283">
      <c r="A2283" s="4" t="s">
        <v>4564</v>
      </c>
      <c r="B2283" s="4" t="s">
        <v>4565</v>
      </c>
    </row>
    <row r="2284">
      <c r="A2284" s="4" t="s">
        <v>4566</v>
      </c>
      <c r="B2284" s="4" t="s">
        <v>4567</v>
      </c>
    </row>
    <row r="2285">
      <c r="A2285" s="4" t="s">
        <v>4568</v>
      </c>
      <c r="B2285" s="4" t="s">
        <v>4569</v>
      </c>
    </row>
    <row r="2286">
      <c r="A2286" s="4" t="s">
        <v>4570</v>
      </c>
      <c r="B2286" s="4" t="s">
        <v>4571</v>
      </c>
    </row>
    <row r="2287">
      <c r="A2287" s="4" t="s">
        <v>4572</v>
      </c>
      <c r="B2287" s="4" t="s">
        <v>4573</v>
      </c>
    </row>
    <row r="2288">
      <c r="A2288" s="4" t="s">
        <v>4574</v>
      </c>
      <c r="B2288" s="4" t="s">
        <v>4575</v>
      </c>
    </row>
    <row r="2289">
      <c r="A2289" s="4" t="s">
        <v>4576</v>
      </c>
      <c r="B2289" s="4" t="s">
        <v>4577</v>
      </c>
    </row>
    <row r="2290">
      <c r="A2290" s="4" t="s">
        <v>4578</v>
      </c>
      <c r="B2290" s="4" t="s">
        <v>4579</v>
      </c>
    </row>
    <row r="2291">
      <c r="A2291" s="4" t="s">
        <v>4580</v>
      </c>
      <c r="B2291" s="4" t="s">
        <v>4581</v>
      </c>
    </row>
    <row r="2292">
      <c r="A2292" s="4" t="s">
        <v>4582</v>
      </c>
      <c r="B2292" s="4" t="s">
        <v>4583</v>
      </c>
    </row>
    <row r="2293">
      <c r="A2293" s="4" t="s">
        <v>4584</v>
      </c>
      <c r="B2293" s="4" t="s">
        <v>4585</v>
      </c>
    </row>
    <row r="2294">
      <c r="A2294" s="4" t="s">
        <v>4586</v>
      </c>
      <c r="B2294" s="4" t="s">
        <v>4587</v>
      </c>
    </row>
    <row r="2295">
      <c r="A2295" s="4" t="s">
        <v>4588</v>
      </c>
      <c r="B2295" s="4" t="s">
        <v>4589</v>
      </c>
    </row>
    <row r="2296">
      <c r="A2296" s="4" t="s">
        <v>4590</v>
      </c>
      <c r="B2296" s="4" t="s">
        <v>4591</v>
      </c>
    </row>
    <row r="2297">
      <c r="A2297" s="4" t="s">
        <v>4592</v>
      </c>
      <c r="B2297" s="4" t="s">
        <v>4593</v>
      </c>
    </row>
    <row r="2298">
      <c r="A2298" s="4" t="s">
        <v>4594</v>
      </c>
      <c r="B2298" s="4" t="s">
        <v>4595</v>
      </c>
    </row>
    <row r="2299">
      <c r="A2299" s="4" t="s">
        <v>4596</v>
      </c>
      <c r="B2299" s="4" t="s">
        <v>4597</v>
      </c>
    </row>
    <row r="2300">
      <c r="A2300" s="4" t="s">
        <v>4598</v>
      </c>
      <c r="B2300" s="4" t="s">
        <v>4599</v>
      </c>
    </row>
    <row r="2301">
      <c r="A2301" s="4" t="s">
        <v>4600</v>
      </c>
      <c r="B2301" s="4" t="s">
        <v>4601</v>
      </c>
    </row>
    <row r="2302">
      <c r="A2302" s="4" t="s">
        <v>4602</v>
      </c>
      <c r="B2302" s="4" t="s">
        <v>4603</v>
      </c>
    </row>
    <row r="2303">
      <c r="A2303" s="4" t="s">
        <v>4604</v>
      </c>
      <c r="B2303" s="4" t="s">
        <v>4605</v>
      </c>
    </row>
    <row r="2304">
      <c r="A2304" s="4" t="s">
        <v>4606</v>
      </c>
      <c r="B2304" s="4" t="s">
        <v>4607</v>
      </c>
    </row>
    <row r="2305">
      <c r="A2305" s="4" t="s">
        <v>4608</v>
      </c>
      <c r="B2305" s="4" t="s">
        <v>4609</v>
      </c>
    </row>
    <row r="2306">
      <c r="A2306" s="4" t="s">
        <v>4610</v>
      </c>
      <c r="B2306" s="4" t="s">
        <v>4611</v>
      </c>
    </row>
    <row r="2307">
      <c r="A2307" s="4" t="s">
        <v>4612</v>
      </c>
      <c r="B2307" s="4" t="s">
        <v>4613</v>
      </c>
    </row>
    <row r="2308">
      <c r="A2308" s="4" t="s">
        <v>4614</v>
      </c>
      <c r="B2308" s="4" t="s">
        <v>4615</v>
      </c>
    </row>
    <row r="2309">
      <c r="A2309" s="4" t="s">
        <v>4616</v>
      </c>
      <c r="B2309" s="4" t="s">
        <v>4617</v>
      </c>
    </row>
    <row r="2310">
      <c r="A2310" s="4" t="s">
        <v>4618</v>
      </c>
      <c r="B2310" s="4" t="s">
        <v>4619</v>
      </c>
    </row>
    <row r="2311">
      <c r="A2311" s="4" t="s">
        <v>4620</v>
      </c>
      <c r="B2311" s="4" t="s">
        <v>4621</v>
      </c>
    </row>
    <row r="2312">
      <c r="A2312" s="4" t="s">
        <v>4622</v>
      </c>
      <c r="B2312" s="4" t="s">
        <v>4623</v>
      </c>
    </row>
    <row r="2313">
      <c r="A2313" s="4" t="s">
        <v>4624</v>
      </c>
      <c r="B2313" s="4" t="s">
        <v>4625</v>
      </c>
    </row>
    <row r="2314">
      <c r="A2314" s="4" t="s">
        <v>4626</v>
      </c>
      <c r="B2314" s="4" t="s">
        <v>4627</v>
      </c>
    </row>
    <row r="2315">
      <c r="A2315" s="4" t="s">
        <v>4628</v>
      </c>
      <c r="B2315" s="4" t="s">
        <v>4629</v>
      </c>
    </row>
    <row r="2316">
      <c r="A2316" s="4" t="s">
        <v>4630</v>
      </c>
      <c r="B2316" s="4" t="s">
        <v>4631</v>
      </c>
    </row>
    <row r="2317">
      <c r="A2317" s="4" t="s">
        <v>4632</v>
      </c>
      <c r="B2317" s="4" t="s">
        <v>4633</v>
      </c>
    </row>
    <row r="2318">
      <c r="A2318" s="4" t="s">
        <v>4634</v>
      </c>
      <c r="B2318" s="4" t="s">
        <v>4635</v>
      </c>
    </row>
    <row r="2319">
      <c r="A2319" s="4" t="s">
        <v>4636</v>
      </c>
      <c r="B2319" s="4" t="s">
        <v>4637</v>
      </c>
    </row>
    <row r="2320">
      <c r="A2320" s="4" t="s">
        <v>4638</v>
      </c>
      <c r="B2320" s="4" t="s">
        <v>4639</v>
      </c>
    </row>
    <row r="2321">
      <c r="A2321" s="4" t="s">
        <v>4640</v>
      </c>
      <c r="B2321" s="4" t="s">
        <v>4641</v>
      </c>
    </row>
    <row r="2322">
      <c r="A2322" s="4" t="s">
        <v>4642</v>
      </c>
      <c r="B2322" s="4" t="s">
        <v>4643</v>
      </c>
    </row>
    <row r="2323">
      <c r="A2323" s="4" t="s">
        <v>4644</v>
      </c>
      <c r="B2323" s="4" t="s">
        <v>4645</v>
      </c>
    </row>
    <row r="2324">
      <c r="A2324" s="4" t="s">
        <v>4646</v>
      </c>
      <c r="B2324" s="4" t="s">
        <v>4647</v>
      </c>
    </row>
    <row r="2325">
      <c r="A2325" s="4" t="s">
        <v>4648</v>
      </c>
      <c r="B2325" s="4" t="s">
        <v>4649</v>
      </c>
    </row>
    <row r="2326">
      <c r="A2326" s="4" t="s">
        <v>4650</v>
      </c>
      <c r="B2326" s="4" t="s">
        <v>4651</v>
      </c>
    </row>
    <row r="2327">
      <c r="A2327" s="4" t="s">
        <v>4652</v>
      </c>
      <c r="B2327" s="4" t="s">
        <v>4653</v>
      </c>
    </row>
    <row r="2328">
      <c r="A2328" s="4" t="s">
        <v>4654</v>
      </c>
      <c r="B2328" s="4" t="s">
        <v>4655</v>
      </c>
    </row>
    <row r="2329">
      <c r="A2329" s="4" t="s">
        <v>4656</v>
      </c>
      <c r="B2329" s="4" t="s">
        <v>4657</v>
      </c>
    </row>
    <row r="2330">
      <c r="A2330" s="4" t="s">
        <v>4658</v>
      </c>
      <c r="B2330" s="4" t="s">
        <v>4659</v>
      </c>
    </row>
    <row r="2331">
      <c r="A2331" s="4" t="s">
        <v>4660</v>
      </c>
      <c r="B2331" s="4" t="s">
        <v>4661</v>
      </c>
    </row>
    <row r="2332">
      <c r="A2332" s="4" t="s">
        <v>4662</v>
      </c>
      <c r="B2332" s="4" t="s">
        <v>4663</v>
      </c>
    </row>
    <row r="2333">
      <c r="A2333" s="4" t="s">
        <v>4664</v>
      </c>
      <c r="B2333" s="4" t="s">
        <v>4665</v>
      </c>
    </row>
    <row r="2334">
      <c r="A2334" s="4" t="s">
        <v>4666</v>
      </c>
      <c r="B2334" s="4" t="s">
        <v>4667</v>
      </c>
    </row>
    <row r="2335">
      <c r="A2335" s="4" t="s">
        <v>4668</v>
      </c>
      <c r="B2335" s="4" t="s">
        <v>4669</v>
      </c>
    </row>
    <row r="2336">
      <c r="A2336" s="4" t="s">
        <v>4670</v>
      </c>
      <c r="B2336" s="4" t="s">
        <v>4671</v>
      </c>
    </row>
    <row r="2337">
      <c r="A2337" s="4" t="s">
        <v>4672</v>
      </c>
      <c r="B2337" s="4" t="s">
        <v>4673</v>
      </c>
    </row>
    <row r="2338">
      <c r="A2338" s="4" t="s">
        <v>4674</v>
      </c>
      <c r="B2338" s="4" t="s">
        <v>4675</v>
      </c>
    </row>
    <row r="2339">
      <c r="A2339" s="4" t="s">
        <v>4676</v>
      </c>
      <c r="B2339" s="4" t="s">
        <v>4677</v>
      </c>
    </row>
    <row r="2340">
      <c r="A2340" s="4" t="s">
        <v>4678</v>
      </c>
      <c r="B2340" s="4" t="s">
        <v>4679</v>
      </c>
    </row>
    <row r="2341">
      <c r="A2341" s="4" t="s">
        <v>4680</v>
      </c>
      <c r="B2341" s="4" t="s">
        <v>4681</v>
      </c>
    </row>
    <row r="2342">
      <c r="A2342" s="4" t="s">
        <v>4682</v>
      </c>
      <c r="B2342" s="4" t="s">
        <v>4683</v>
      </c>
    </row>
    <row r="2343">
      <c r="A2343" s="4" t="s">
        <v>4684</v>
      </c>
      <c r="B2343" s="4" t="s">
        <v>4685</v>
      </c>
    </row>
    <row r="2344">
      <c r="A2344" s="4" t="s">
        <v>4686</v>
      </c>
      <c r="B2344" s="4" t="s">
        <v>4687</v>
      </c>
    </row>
    <row r="2345">
      <c r="A2345" s="4" t="s">
        <v>4688</v>
      </c>
      <c r="B2345" s="4" t="s">
        <v>4689</v>
      </c>
    </row>
    <row r="2346">
      <c r="A2346" s="4" t="s">
        <v>4690</v>
      </c>
      <c r="B2346" s="4" t="s">
        <v>4691</v>
      </c>
    </row>
    <row r="2347">
      <c r="A2347" s="4" t="s">
        <v>4692</v>
      </c>
      <c r="B2347" s="4" t="s">
        <v>4693</v>
      </c>
    </row>
    <row r="2348">
      <c r="A2348" s="4" t="s">
        <v>4694</v>
      </c>
      <c r="B2348" s="4" t="s">
        <v>4695</v>
      </c>
    </row>
    <row r="2349">
      <c r="A2349" s="4" t="s">
        <v>4696</v>
      </c>
      <c r="B2349" s="4" t="s">
        <v>4697</v>
      </c>
    </row>
    <row r="2350">
      <c r="A2350" s="4" t="s">
        <v>4698</v>
      </c>
      <c r="B2350" s="4" t="s">
        <v>4699</v>
      </c>
    </row>
    <row r="2351">
      <c r="A2351" s="4" t="s">
        <v>4700</v>
      </c>
      <c r="B2351" s="4" t="s">
        <v>4701</v>
      </c>
    </row>
    <row r="2352">
      <c r="A2352" s="4" t="s">
        <v>4702</v>
      </c>
      <c r="B2352" s="4" t="s">
        <v>4703</v>
      </c>
    </row>
    <row r="2353">
      <c r="A2353" s="4" t="s">
        <v>4704</v>
      </c>
      <c r="B2353" s="4" t="s">
        <v>4705</v>
      </c>
    </row>
    <row r="2354">
      <c r="A2354" s="4" t="s">
        <v>4706</v>
      </c>
      <c r="B2354" s="4" t="s">
        <v>4707</v>
      </c>
    </row>
    <row r="2355">
      <c r="A2355" s="4" t="s">
        <v>4708</v>
      </c>
      <c r="B2355" s="4" t="s">
        <v>4709</v>
      </c>
    </row>
    <row r="2356">
      <c r="A2356" s="4" t="s">
        <v>4710</v>
      </c>
      <c r="B2356" s="4" t="s">
        <v>4711</v>
      </c>
    </row>
    <row r="2357">
      <c r="A2357" s="4" t="s">
        <v>4712</v>
      </c>
      <c r="B2357" s="4" t="s">
        <v>4713</v>
      </c>
    </row>
    <row r="2358">
      <c r="A2358" s="4" t="s">
        <v>4714</v>
      </c>
      <c r="B2358" s="4" t="s">
        <v>4715</v>
      </c>
    </row>
    <row r="2359">
      <c r="A2359" s="4" t="s">
        <v>4716</v>
      </c>
      <c r="B2359" s="4" t="s">
        <v>4717</v>
      </c>
    </row>
    <row r="2360">
      <c r="A2360" s="4" t="s">
        <v>4718</v>
      </c>
      <c r="B2360" s="4" t="s">
        <v>4719</v>
      </c>
    </row>
    <row r="2361">
      <c r="A2361" s="4" t="s">
        <v>4720</v>
      </c>
      <c r="B2361" s="4" t="s">
        <v>4721</v>
      </c>
    </row>
    <row r="2362">
      <c r="A2362" s="4" t="s">
        <v>4722</v>
      </c>
      <c r="B2362" s="4" t="s">
        <v>4723</v>
      </c>
    </row>
    <row r="2363">
      <c r="A2363" s="4" t="s">
        <v>4724</v>
      </c>
      <c r="B2363" s="4" t="s">
        <v>4725</v>
      </c>
    </row>
    <row r="2364">
      <c r="A2364" s="4" t="s">
        <v>4726</v>
      </c>
      <c r="B2364" s="4" t="s">
        <v>4727</v>
      </c>
    </row>
    <row r="2365">
      <c r="A2365" s="4" t="s">
        <v>4728</v>
      </c>
      <c r="B2365" s="4" t="s">
        <v>4729</v>
      </c>
    </row>
    <row r="2366">
      <c r="A2366" s="4" t="s">
        <v>4730</v>
      </c>
      <c r="B2366" s="4" t="s">
        <v>4731</v>
      </c>
    </row>
    <row r="2367">
      <c r="A2367" s="4" t="s">
        <v>4732</v>
      </c>
      <c r="B2367" s="4" t="s">
        <v>4733</v>
      </c>
    </row>
    <row r="2368">
      <c r="A2368" s="4" t="s">
        <v>4734</v>
      </c>
      <c r="B2368" s="4" t="s">
        <v>4735</v>
      </c>
    </row>
    <row r="2369">
      <c r="A2369" s="4" t="s">
        <v>4736</v>
      </c>
      <c r="B2369" s="4" t="s">
        <v>4737</v>
      </c>
    </row>
    <row r="2370">
      <c r="A2370" s="4" t="s">
        <v>4738</v>
      </c>
      <c r="B2370" s="4" t="s">
        <v>4739</v>
      </c>
    </row>
    <row r="2371">
      <c r="A2371" s="4" t="s">
        <v>4740</v>
      </c>
      <c r="B2371" s="4" t="s">
        <v>4741</v>
      </c>
    </row>
    <row r="2372">
      <c r="A2372" s="4" t="s">
        <v>4742</v>
      </c>
      <c r="B2372" s="4" t="s">
        <v>4743</v>
      </c>
    </row>
    <row r="2373">
      <c r="A2373" s="4" t="s">
        <v>4744</v>
      </c>
      <c r="B2373" s="4" t="s">
        <v>4745</v>
      </c>
    </row>
    <row r="2374">
      <c r="A2374" s="4" t="s">
        <v>4746</v>
      </c>
      <c r="B2374" s="4" t="s">
        <v>4747</v>
      </c>
    </row>
    <row r="2375">
      <c r="A2375" s="4" t="s">
        <v>4748</v>
      </c>
      <c r="B2375" s="4" t="s">
        <v>4749</v>
      </c>
    </row>
    <row r="2376">
      <c r="A2376" s="4" t="s">
        <v>4750</v>
      </c>
      <c r="B2376" s="4" t="s">
        <v>4751</v>
      </c>
    </row>
    <row r="2377">
      <c r="A2377" s="4" t="s">
        <v>4752</v>
      </c>
      <c r="B2377" s="4" t="s">
        <v>4753</v>
      </c>
    </row>
    <row r="2378">
      <c r="A2378" s="4" t="s">
        <v>4754</v>
      </c>
      <c r="B2378" s="4" t="s">
        <v>4755</v>
      </c>
    </row>
    <row r="2379">
      <c r="A2379" s="4" t="s">
        <v>4756</v>
      </c>
      <c r="B2379" s="4" t="s">
        <v>4757</v>
      </c>
    </row>
    <row r="2380">
      <c r="A2380" s="4" t="s">
        <v>4758</v>
      </c>
      <c r="B2380" s="4" t="s">
        <v>4759</v>
      </c>
    </row>
    <row r="2381">
      <c r="A2381" s="4" t="s">
        <v>4760</v>
      </c>
      <c r="B2381" s="4" t="s">
        <v>4761</v>
      </c>
    </row>
    <row r="2382">
      <c r="A2382" s="4" t="s">
        <v>4762</v>
      </c>
      <c r="B2382" s="4" t="s">
        <v>4763</v>
      </c>
    </row>
    <row r="2383">
      <c r="A2383" s="4" t="s">
        <v>4764</v>
      </c>
      <c r="B2383" s="4" t="s">
        <v>4765</v>
      </c>
    </row>
    <row r="2384">
      <c r="A2384" s="4" t="s">
        <v>4766</v>
      </c>
      <c r="B2384" s="4" t="s">
        <v>4767</v>
      </c>
    </row>
    <row r="2385">
      <c r="A2385" s="4" t="s">
        <v>4768</v>
      </c>
      <c r="B2385" s="4" t="s">
        <v>4769</v>
      </c>
    </row>
    <row r="2386">
      <c r="A2386" s="4" t="s">
        <v>4770</v>
      </c>
      <c r="B2386" s="4" t="s">
        <v>4771</v>
      </c>
    </row>
    <row r="2387">
      <c r="A2387" s="4" t="s">
        <v>4772</v>
      </c>
      <c r="B2387" s="4" t="s">
        <v>4773</v>
      </c>
    </row>
    <row r="2388">
      <c r="A2388" s="4" t="s">
        <v>4774</v>
      </c>
      <c r="B2388" s="4" t="s">
        <v>4775</v>
      </c>
    </row>
    <row r="2389">
      <c r="A2389" s="4" t="s">
        <v>4776</v>
      </c>
      <c r="B2389" s="4" t="s">
        <v>4777</v>
      </c>
    </row>
    <row r="2390">
      <c r="A2390" s="4" t="s">
        <v>4778</v>
      </c>
      <c r="B2390" s="4" t="s">
        <v>4779</v>
      </c>
    </row>
    <row r="2391">
      <c r="A2391" s="4" t="s">
        <v>4780</v>
      </c>
      <c r="B2391" s="4" t="s">
        <v>4781</v>
      </c>
    </row>
    <row r="2392">
      <c r="A2392" s="4" t="s">
        <v>4782</v>
      </c>
      <c r="B2392" s="4" t="s">
        <v>4783</v>
      </c>
    </row>
    <row r="2393">
      <c r="A2393" s="4" t="s">
        <v>4784</v>
      </c>
      <c r="B2393" s="4" t="s">
        <v>4785</v>
      </c>
    </row>
    <row r="2394">
      <c r="A2394" s="4" t="s">
        <v>4786</v>
      </c>
      <c r="B2394" s="4" t="s">
        <v>4787</v>
      </c>
    </row>
    <row r="2395">
      <c r="A2395" s="4" t="s">
        <v>4788</v>
      </c>
      <c r="B2395" s="4" t="s">
        <v>4789</v>
      </c>
    </row>
    <row r="2396">
      <c r="A2396" s="4" t="s">
        <v>4790</v>
      </c>
      <c r="B2396" s="4" t="s">
        <v>4791</v>
      </c>
    </row>
    <row r="2397">
      <c r="A2397" s="4" t="s">
        <v>4792</v>
      </c>
      <c r="B2397" s="4" t="s">
        <v>4793</v>
      </c>
    </row>
    <row r="2398">
      <c r="A2398" s="4" t="s">
        <v>4794</v>
      </c>
      <c r="B2398" s="4" t="s">
        <v>4795</v>
      </c>
    </row>
    <row r="2399">
      <c r="A2399" s="4" t="s">
        <v>4796</v>
      </c>
      <c r="B2399" s="4" t="s">
        <v>4797</v>
      </c>
    </row>
    <row r="2400">
      <c r="A2400" s="4" t="s">
        <v>4798</v>
      </c>
      <c r="B2400" s="4" t="s">
        <v>4799</v>
      </c>
    </row>
    <row r="2401">
      <c r="A2401" s="4" t="s">
        <v>4800</v>
      </c>
      <c r="B2401" s="4" t="s">
        <v>4801</v>
      </c>
    </row>
    <row r="2402">
      <c r="A2402" s="4" t="s">
        <v>4802</v>
      </c>
      <c r="B2402" s="4" t="s">
        <v>4803</v>
      </c>
    </row>
    <row r="2403">
      <c r="A2403" s="4" t="s">
        <v>4804</v>
      </c>
      <c r="B2403" s="4" t="s">
        <v>4805</v>
      </c>
    </row>
    <row r="2404">
      <c r="A2404" s="4" t="s">
        <v>4806</v>
      </c>
      <c r="B2404" s="4" t="s">
        <v>4807</v>
      </c>
    </row>
    <row r="2405">
      <c r="A2405" s="4" t="s">
        <v>4808</v>
      </c>
      <c r="B2405" s="4" t="s">
        <v>4809</v>
      </c>
    </row>
    <row r="2406">
      <c r="A2406" s="4" t="s">
        <v>4810</v>
      </c>
      <c r="B2406" s="4" t="s">
        <v>4811</v>
      </c>
    </row>
    <row r="2407">
      <c r="A2407" s="4" t="s">
        <v>4812</v>
      </c>
      <c r="B2407" s="4" t="s">
        <v>4813</v>
      </c>
    </row>
    <row r="2408">
      <c r="A2408" s="4" t="s">
        <v>4814</v>
      </c>
      <c r="B2408" s="4" t="s">
        <v>4815</v>
      </c>
    </row>
    <row r="2409">
      <c r="A2409" s="4" t="s">
        <v>4816</v>
      </c>
      <c r="B2409" s="4" t="s">
        <v>4817</v>
      </c>
    </row>
    <row r="2410">
      <c r="A2410" s="4" t="s">
        <v>4818</v>
      </c>
      <c r="B2410" s="4" t="s">
        <v>4819</v>
      </c>
    </row>
    <row r="2411">
      <c r="A2411" s="4" t="s">
        <v>4820</v>
      </c>
      <c r="B2411" s="4" t="s">
        <v>4821</v>
      </c>
    </row>
    <row r="2412">
      <c r="A2412" s="4" t="s">
        <v>4822</v>
      </c>
      <c r="B2412" s="4" t="s">
        <v>4823</v>
      </c>
    </row>
    <row r="2413">
      <c r="A2413" s="4" t="s">
        <v>4824</v>
      </c>
      <c r="B2413" s="4" t="s">
        <v>4825</v>
      </c>
    </row>
    <row r="2414">
      <c r="A2414" s="4" t="s">
        <v>4826</v>
      </c>
      <c r="B2414" s="4" t="s">
        <v>4827</v>
      </c>
    </row>
    <row r="2415">
      <c r="A2415" s="4" t="s">
        <v>4828</v>
      </c>
      <c r="B2415" s="4" t="s">
        <v>4829</v>
      </c>
    </row>
    <row r="2416">
      <c r="A2416" s="4" t="s">
        <v>4830</v>
      </c>
      <c r="B2416" s="4" t="s">
        <v>4831</v>
      </c>
    </row>
    <row r="2417">
      <c r="A2417" s="4" t="s">
        <v>4832</v>
      </c>
      <c r="B2417" s="4" t="s">
        <v>4833</v>
      </c>
    </row>
    <row r="2418">
      <c r="A2418" s="4" t="s">
        <v>4834</v>
      </c>
      <c r="B2418" s="4" t="s">
        <v>4835</v>
      </c>
    </row>
    <row r="2419">
      <c r="A2419" s="4" t="s">
        <v>4836</v>
      </c>
      <c r="B2419" s="4" t="s">
        <v>4837</v>
      </c>
    </row>
    <row r="2420">
      <c r="A2420" s="4" t="s">
        <v>4838</v>
      </c>
      <c r="B2420" s="4" t="s">
        <v>4839</v>
      </c>
    </row>
    <row r="2421">
      <c r="A2421" s="4" t="s">
        <v>4840</v>
      </c>
      <c r="B2421" s="4" t="s">
        <v>4841</v>
      </c>
    </row>
    <row r="2422">
      <c r="A2422" s="4" t="s">
        <v>4842</v>
      </c>
      <c r="B2422" s="4" t="s">
        <v>4843</v>
      </c>
    </row>
    <row r="2423">
      <c r="A2423" s="4" t="s">
        <v>4844</v>
      </c>
      <c r="B2423" s="4" t="s">
        <v>4845</v>
      </c>
    </row>
    <row r="2424">
      <c r="A2424" s="4" t="s">
        <v>4846</v>
      </c>
      <c r="B2424" s="4" t="s">
        <v>4847</v>
      </c>
    </row>
    <row r="2425">
      <c r="A2425" s="4" t="s">
        <v>4848</v>
      </c>
      <c r="B2425" s="4" t="s">
        <v>4849</v>
      </c>
    </row>
    <row r="2426">
      <c r="A2426" s="4" t="s">
        <v>4850</v>
      </c>
      <c r="B2426" s="4" t="s">
        <v>4851</v>
      </c>
    </row>
    <row r="2427">
      <c r="A2427" s="4" t="s">
        <v>4852</v>
      </c>
      <c r="B2427" s="4" t="s">
        <v>4853</v>
      </c>
    </row>
    <row r="2428">
      <c r="A2428" s="4" t="s">
        <v>4854</v>
      </c>
      <c r="B2428" s="4" t="s">
        <v>4855</v>
      </c>
    </row>
    <row r="2429">
      <c r="A2429" s="4" t="s">
        <v>4856</v>
      </c>
      <c r="B2429" s="4" t="s">
        <v>4857</v>
      </c>
    </row>
    <row r="2430">
      <c r="A2430" s="4" t="s">
        <v>4858</v>
      </c>
      <c r="B2430" s="4" t="s">
        <v>4859</v>
      </c>
    </row>
    <row r="2431">
      <c r="A2431" s="4" t="s">
        <v>4860</v>
      </c>
      <c r="B2431" s="4" t="s">
        <v>4861</v>
      </c>
    </row>
    <row r="2432">
      <c r="A2432" s="4" t="s">
        <v>4862</v>
      </c>
      <c r="B2432" s="4" t="s">
        <v>4863</v>
      </c>
    </row>
    <row r="2433">
      <c r="A2433" s="4" t="s">
        <v>4864</v>
      </c>
      <c r="B2433" s="4" t="s">
        <v>4865</v>
      </c>
    </row>
    <row r="2434">
      <c r="A2434" s="4" t="s">
        <v>4866</v>
      </c>
      <c r="B2434" s="4" t="s">
        <v>4867</v>
      </c>
    </row>
    <row r="2435">
      <c r="A2435" s="4" t="s">
        <v>4868</v>
      </c>
      <c r="B2435" s="4" t="s">
        <v>4869</v>
      </c>
    </row>
    <row r="2436">
      <c r="A2436" s="4" t="s">
        <v>4870</v>
      </c>
      <c r="B2436" s="4" t="s">
        <v>4871</v>
      </c>
    </row>
    <row r="2437">
      <c r="A2437" s="4" t="s">
        <v>4872</v>
      </c>
      <c r="B2437" s="4" t="s">
        <v>4873</v>
      </c>
    </row>
    <row r="2438">
      <c r="A2438" s="4" t="s">
        <v>4874</v>
      </c>
      <c r="B2438" s="4" t="s">
        <v>4875</v>
      </c>
    </row>
    <row r="2439">
      <c r="A2439" s="4" t="s">
        <v>4876</v>
      </c>
      <c r="B2439" s="4" t="s">
        <v>4877</v>
      </c>
    </row>
    <row r="2440">
      <c r="A2440" s="4" t="s">
        <v>4878</v>
      </c>
      <c r="B2440" s="4" t="s">
        <v>4879</v>
      </c>
    </row>
    <row r="2441">
      <c r="A2441" s="4" t="s">
        <v>4880</v>
      </c>
      <c r="B2441" s="4" t="s">
        <v>4881</v>
      </c>
    </row>
    <row r="2442">
      <c r="A2442" s="4" t="s">
        <v>4882</v>
      </c>
      <c r="B2442" s="4" t="s">
        <v>4883</v>
      </c>
    </row>
    <row r="2443">
      <c r="A2443" s="4" t="s">
        <v>4884</v>
      </c>
      <c r="B2443" s="4" t="s">
        <v>4885</v>
      </c>
    </row>
    <row r="2444">
      <c r="A2444" s="4" t="s">
        <v>4886</v>
      </c>
      <c r="B2444" s="4" t="s">
        <v>4887</v>
      </c>
    </row>
    <row r="2445">
      <c r="A2445" s="4" t="s">
        <v>4888</v>
      </c>
      <c r="B2445" s="4" t="s">
        <v>4889</v>
      </c>
    </row>
    <row r="2446">
      <c r="A2446" s="4" t="s">
        <v>4890</v>
      </c>
      <c r="B2446" s="4" t="s">
        <v>4891</v>
      </c>
    </row>
    <row r="2447">
      <c r="A2447" s="4" t="s">
        <v>4892</v>
      </c>
      <c r="B2447" s="4" t="s">
        <v>4893</v>
      </c>
    </row>
    <row r="2448">
      <c r="A2448" s="4" t="s">
        <v>4894</v>
      </c>
      <c r="B2448" s="4" t="s">
        <v>4895</v>
      </c>
    </row>
    <row r="2449">
      <c r="A2449" s="4" t="s">
        <v>4896</v>
      </c>
      <c r="B2449" s="4" t="s">
        <v>4897</v>
      </c>
    </row>
    <row r="2450">
      <c r="A2450" s="4" t="s">
        <v>4898</v>
      </c>
      <c r="B2450" s="4" t="s">
        <v>4899</v>
      </c>
    </row>
    <row r="2451">
      <c r="A2451" s="4" t="s">
        <v>4900</v>
      </c>
      <c r="B2451" s="4" t="s">
        <v>4901</v>
      </c>
    </row>
    <row r="2452">
      <c r="A2452" s="4" t="s">
        <v>4902</v>
      </c>
      <c r="B2452" s="4" t="s">
        <v>4903</v>
      </c>
    </row>
    <row r="2453">
      <c r="A2453" s="4" t="s">
        <v>4904</v>
      </c>
      <c r="B2453" s="4" t="s">
        <v>4905</v>
      </c>
    </row>
    <row r="2454">
      <c r="A2454" s="4" t="s">
        <v>4906</v>
      </c>
      <c r="B2454" s="4" t="s">
        <v>4907</v>
      </c>
    </row>
    <row r="2455">
      <c r="A2455" s="4" t="s">
        <v>4908</v>
      </c>
      <c r="B2455" s="4" t="s">
        <v>4909</v>
      </c>
    </row>
    <row r="2456">
      <c r="A2456" s="4" t="s">
        <v>4910</v>
      </c>
      <c r="B2456" s="4" t="s">
        <v>4911</v>
      </c>
    </row>
    <row r="2457">
      <c r="A2457" s="4" t="s">
        <v>4912</v>
      </c>
      <c r="B2457" s="4" t="s">
        <v>4913</v>
      </c>
    </row>
    <row r="2458">
      <c r="A2458" s="4" t="s">
        <v>4914</v>
      </c>
      <c r="B2458" s="4" t="s">
        <v>4915</v>
      </c>
    </row>
    <row r="2459">
      <c r="A2459" s="4" t="s">
        <v>4916</v>
      </c>
      <c r="B2459" s="4" t="s">
        <v>4917</v>
      </c>
    </row>
    <row r="2460">
      <c r="A2460" s="4" t="s">
        <v>4918</v>
      </c>
      <c r="B2460" s="4" t="s">
        <v>4919</v>
      </c>
    </row>
    <row r="2461">
      <c r="A2461" s="4" t="s">
        <v>4920</v>
      </c>
      <c r="B2461" s="4" t="s">
        <v>4921</v>
      </c>
    </row>
    <row r="2462">
      <c r="A2462" s="4" t="s">
        <v>4922</v>
      </c>
      <c r="B2462" s="4" t="s">
        <v>4923</v>
      </c>
    </row>
    <row r="2463">
      <c r="A2463" s="4" t="s">
        <v>4924</v>
      </c>
      <c r="B2463" s="4" t="s">
        <v>4925</v>
      </c>
    </row>
    <row r="2464">
      <c r="A2464" s="4" t="s">
        <v>4926</v>
      </c>
      <c r="B2464" s="4" t="s">
        <v>4927</v>
      </c>
    </row>
    <row r="2465">
      <c r="A2465" s="4" t="s">
        <v>4928</v>
      </c>
      <c r="B2465" s="4" t="s">
        <v>4929</v>
      </c>
    </row>
    <row r="2466">
      <c r="A2466" s="4" t="s">
        <v>4930</v>
      </c>
      <c r="B2466" s="4" t="s">
        <v>4931</v>
      </c>
    </row>
    <row r="2467">
      <c r="A2467" s="4" t="s">
        <v>4932</v>
      </c>
      <c r="B2467" s="4" t="s">
        <v>4933</v>
      </c>
    </row>
    <row r="2468">
      <c r="A2468" s="4" t="s">
        <v>4934</v>
      </c>
      <c r="B2468" s="4" t="s">
        <v>4935</v>
      </c>
    </row>
    <row r="2469">
      <c r="A2469" s="4" t="s">
        <v>4936</v>
      </c>
      <c r="B2469" s="4" t="s">
        <v>4937</v>
      </c>
    </row>
    <row r="2470">
      <c r="A2470" s="4" t="s">
        <v>4938</v>
      </c>
      <c r="B2470" s="4" t="s">
        <v>4939</v>
      </c>
    </row>
    <row r="2471">
      <c r="A2471" s="4" t="s">
        <v>4940</v>
      </c>
      <c r="B2471" s="4" t="s">
        <v>4941</v>
      </c>
    </row>
    <row r="2472">
      <c r="A2472" s="4" t="s">
        <v>4942</v>
      </c>
      <c r="B2472" s="4" t="s">
        <v>4943</v>
      </c>
    </row>
    <row r="2473">
      <c r="A2473" s="4" t="s">
        <v>4944</v>
      </c>
      <c r="B2473" s="4" t="s">
        <v>4945</v>
      </c>
    </row>
    <row r="2474">
      <c r="A2474" s="4" t="s">
        <v>4946</v>
      </c>
      <c r="B2474" s="4" t="s">
        <v>4947</v>
      </c>
    </row>
    <row r="2475">
      <c r="A2475" s="4" t="s">
        <v>4948</v>
      </c>
      <c r="B2475" s="4" t="s">
        <v>4949</v>
      </c>
    </row>
    <row r="2476">
      <c r="A2476" s="4" t="s">
        <v>4950</v>
      </c>
      <c r="B2476" s="4" t="s">
        <v>4951</v>
      </c>
    </row>
    <row r="2477">
      <c r="A2477" s="4" t="s">
        <v>4952</v>
      </c>
      <c r="B2477" s="4" t="s">
        <v>4953</v>
      </c>
    </row>
    <row r="2478">
      <c r="A2478" s="4" t="s">
        <v>4954</v>
      </c>
      <c r="B2478" s="4" t="s">
        <v>4955</v>
      </c>
    </row>
    <row r="2479">
      <c r="A2479" s="4" t="s">
        <v>4956</v>
      </c>
      <c r="B2479" s="4" t="s">
        <v>4957</v>
      </c>
    </row>
    <row r="2480">
      <c r="A2480" s="4" t="s">
        <v>4958</v>
      </c>
      <c r="B2480" s="4" t="s">
        <v>4959</v>
      </c>
    </row>
    <row r="2481">
      <c r="A2481" s="4" t="s">
        <v>4960</v>
      </c>
      <c r="B2481" s="4" t="s">
        <v>4961</v>
      </c>
    </row>
    <row r="2482">
      <c r="A2482" s="4" t="s">
        <v>4962</v>
      </c>
      <c r="B2482" s="4" t="s">
        <v>4963</v>
      </c>
    </row>
    <row r="2483">
      <c r="A2483" s="4" t="s">
        <v>4964</v>
      </c>
      <c r="B2483" s="4" t="s">
        <v>4965</v>
      </c>
    </row>
    <row r="2484">
      <c r="A2484" s="4" t="s">
        <v>4966</v>
      </c>
      <c r="B2484" s="4" t="s">
        <v>4967</v>
      </c>
    </row>
    <row r="2485">
      <c r="A2485" s="4" t="s">
        <v>4968</v>
      </c>
      <c r="B2485" s="4" t="s">
        <v>4969</v>
      </c>
    </row>
    <row r="2486">
      <c r="A2486" s="4" t="s">
        <v>4970</v>
      </c>
      <c r="B2486" s="4" t="s">
        <v>4971</v>
      </c>
    </row>
    <row r="2487">
      <c r="A2487" s="4" t="s">
        <v>4972</v>
      </c>
      <c r="B2487" s="4" t="s">
        <v>4973</v>
      </c>
    </row>
    <row r="2488">
      <c r="A2488" s="4" t="s">
        <v>4974</v>
      </c>
      <c r="B2488" s="4" t="s">
        <v>4975</v>
      </c>
    </row>
    <row r="2489">
      <c r="A2489" s="4" t="s">
        <v>4976</v>
      </c>
      <c r="B2489" s="4" t="s">
        <v>4977</v>
      </c>
    </row>
    <row r="2490">
      <c r="A2490" s="4" t="s">
        <v>4978</v>
      </c>
      <c r="B2490" s="4" t="s">
        <v>4979</v>
      </c>
    </row>
    <row r="2491">
      <c r="A2491" s="4" t="s">
        <v>4980</v>
      </c>
      <c r="B2491" s="4" t="s">
        <v>4981</v>
      </c>
    </row>
    <row r="2492">
      <c r="A2492" s="4" t="s">
        <v>4982</v>
      </c>
      <c r="B2492" s="4" t="s">
        <v>4983</v>
      </c>
    </row>
    <row r="2493">
      <c r="A2493" s="4" t="s">
        <v>4984</v>
      </c>
      <c r="B2493" s="4" t="s">
        <v>4985</v>
      </c>
    </row>
    <row r="2494">
      <c r="A2494" s="4" t="s">
        <v>4986</v>
      </c>
      <c r="B2494" s="4" t="s">
        <v>4987</v>
      </c>
    </row>
    <row r="2495">
      <c r="A2495" s="4" t="s">
        <v>4988</v>
      </c>
      <c r="B2495" s="4" t="s">
        <v>4989</v>
      </c>
    </row>
    <row r="2496">
      <c r="A2496" s="4" t="s">
        <v>4990</v>
      </c>
      <c r="B2496" s="4" t="s">
        <v>4991</v>
      </c>
    </row>
    <row r="2497">
      <c r="A2497" s="4" t="s">
        <v>4992</v>
      </c>
      <c r="B2497" s="4" t="s">
        <v>4993</v>
      </c>
    </row>
    <row r="2498">
      <c r="A2498" s="4" t="s">
        <v>4994</v>
      </c>
      <c r="B2498" s="4" t="s">
        <v>4995</v>
      </c>
    </row>
    <row r="2499">
      <c r="A2499" s="4" t="s">
        <v>4996</v>
      </c>
      <c r="B2499" s="4" t="s">
        <v>4997</v>
      </c>
    </row>
    <row r="2500">
      <c r="A2500" s="4" t="s">
        <v>4998</v>
      </c>
      <c r="B2500" s="4" t="s">
        <v>4999</v>
      </c>
    </row>
    <row r="2501">
      <c r="A2501" s="4" t="s">
        <v>5000</v>
      </c>
      <c r="B2501" s="4" t="s">
        <v>5001</v>
      </c>
    </row>
    <row r="2502">
      <c r="A2502" s="4" t="s">
        <v>5002</v>
      </c>
      <c r="B2502" s="4" t="s">
        <v>5003</v>
      </c>
    </row>
    <row r="2503">
      <c r="A2503" s="4" t="s">
        <v>5004</v>
      </c>
      <c r="B2503" s="4" t="s">
        <v>5005</v>
      </c>
    </row>
    <row r="2504">
      <c r="A2504" s="4" t="s">
        <v>5006</v>
      </c>
      <c r="B2504" s="4" t="s">
        <v>5007</v>
      </c>
    </row>
    <row r="2505">
      <c r="A2505" s="4" t="s">
        <v>5008</v>
      </c>
      <c r="B2505" s="4" t="s">
        <v>5009</v>
      </c>
    </row>
    <row r="2506">
      <c r="A2506" s="4" t="s">
        <v>5010</v>
      </c>
      <c r="B2506" s="4" t="s">
        <v>5011</v>
      </c>
    </row>
    <row r="2507">
      <c r="A2507" s="4" t="s">
        <v>5012</v>
      </c>
      <c r="B2507" s="4" t="s">
        <v>5013</v>
      </c>
    </row>
    <row r="2508">
      <c r="A2508" s="4" t="s">
        <v>5014</v>
      </c>
      <c r="B2508" s="4" t="s">
        <v>5015</v>
      </c>
    </row>
    <row r="2509">
      <c r="A2509" s="4" t="s">
        <v>5016</v>
      </c>
      <c r="B2509" s="4" t="s">
        <v>5017</v>
      </c>
    </row>
    <row r="2510">
      <c r="A2510" s="4" t="s">
        <v>5018</v>
      </c>
      <c r="B2510" s="4" t="s">
        <v>5019</v>
      </c>
    </row>
    <row r="2511">
      <c r="A2511" s="4" t="s">
        <v>5020</v>
      </c>
      <c r="B2511" s="4" t="s">
        <v>5021</v>
      </c>
    </row>
    <row r="2512">
      <c r="A2512" s="4" t="s">
        <v>5022</v>
      </c>
      <c r="B2512" s="4" t="s">
        <v>5023</v>
      </c>
    </row>
    <row r="2513">
      <c r="A2513" s="4" t="s">
        <v>5024</v>
      </c>
      <c r="B2513" s="4" t="s">
        <v>5025</v>
      </c>
    </row>
    <row r="2514">
      <c r="A2514" s="4" t="s">
        <v>5026</v>
      </c>
      <c r="B2514" s="4" t="s">
        <v>5027</v>
      </c>
    </row>
    <row r="2515">
      <c r="A2515" s="4" t="s">
        <v>5028</v>
      </c>
      <c r="B2515" s="4" t="s">
        <v>5029</v>
      </c>
    </row>
    <row r="2516">
      <c r="A2516" s="4" t="s">
        <v>5030</v>
      </c>
      <c r="B2516" s="4" t="s">
        <v>5031</v>
      </c>
    </row>
    <row r="2517">
      <c r="A2517" s="4" t="s">
        <v>5032</v>
      </c>
      <c r="B2517" s="4" t="s">
        <v>5033</v>
      </c>
    </row>
    <row r="2518">
      <c r="A2518" s="4" t="s">
        <v>5034</v>
      </c>
      <c r="B2518" s="4" t="s">
        <v>5035</v>
      </c>
    </row>
    <row r="2519">
      <c r="A2519" s="4" t="s">
        <v>5036</v>
      </c>
      <c r="B2519" s="4" t="s">
        <v>5037</v>
      </c>
    </row>
    <row r="2520">
      <c r="A2520" s="4" t="s">
        <v>5038</v>
      </c>
      <c r="B2520" s="4" t="s">
        <v>5039</v>
      </c>
    </row>
    <row r="2521">
      <c r="A2521" s="4" t="s">
        <v>5040</v>
      </c>
      <c r="B2521" s="4" t="s">
        <v>5041</v>
      </c>
    </row>
    <row r="2522">
      <c r="A2522" s="4" t="s">
        <v>5042</v>
      </c>
      <c r="B2522" s="4" t="s">
        <v>5043</v>
      </c>
    </row>
    <row r="2523">
      <c r="A2523" s="4" t="s">
        <v>5044</v>
      </c>
      <c r="B2523" s="4" t="s">
        <v>5045</v>
      </c>
    </row>
    <row r="2524">
      <c r="A2524" s="4" t="s">
        <v>5046</v>
      </c>
      <c r="B2524" s="4" t="s">
        <v>5047</v>
      </c>
    </row>
    <row r="2525">
      <c r="A2525" s="4" t="s">
        <v>5048</v>
      </c>
      <c r="B2525" s="4" t="s">
        <v>5049</v>
      </c>
    </row>
    <row r="2526">
      <c r="A2526" s="4" t="s">
        <v>5050</v>
      </c>
      <c r="B2526" s="4" t="s">
        <v>5051</v>
      </c>
    </row>
    <row r="2527">
      <c r="A2527" s="4" t="s">
        <v>5052</v>
      </c>
      <c r="B2527" s="4" t="s">
        <v>5053</v>
      </c>
    </row>
    <row r="2528">
      <c r="A2528" s="4" t="s">
        <v>5054</v>
      </c>
      <c r="B2528" s="4" t="s">
        <v>5055</v>
      </c>
    </row>
    <row r="2529">
      <c r="A2529" s="4" t="s">
        <v>5056</v>
      </c>
      <c r="B2529" s="4" t="s">
        <v>5057</v>
      </c>
    </row>
    <row r="2530">
      <c r="A2530" s="4" t="s">
        <v>5058</v>
      </c>
      <c r="B2530" s="4" t="s">
        <v>5059</v>
      </c>
    </row>
    <row r="2531">
      <c r="A2531" s="4" t="s">
        <v>5060</v>
      </c>
      <c r="B2531" s="4" t="s">
        <v>5061</v>
      </c>
    </row>
    <row r="2532">
      <c r="A2532" s="4" t="s">
        <v>5062</v>
      </c>
      <c r="B2532" s="4" t="s">
        <v>5063</v>
      </c>
    </row>
    <row r="2533">
      <c r="A2533" s="4" t="s">
        <v>5064</v>
      </c>
      <c r="B2533" s="4" t="s">
        <v>5065</v>
      </c>
    </row>
    <row r="2534">
      <c r="A2534" s="4" t="s">
        <v>5066</v>
      </c>
      <c r="B2534" s="4" t="s">
        <v>5067</v>
      </c>
    </row>
    <row r="2535">
      <c r="A2535" s="4" t="s">
        <v>5068</v>
      </c>
      <c r="B2535" s="4" t="s">
        <v>5069</v>
      </c>
    </row>
    <row r="2536">
      <c r="A2536" s="4" t="s">
        <v>5070</v>
      </c>
      <c r="B2536" s="4" t="s">
        <v>5071</v>
      </c>
    </row>
    <row r="2537">
      <c r="A2537" s="4" t="s">
        <v>5072</v>
      </c>
      <c r="B2537" s="4" t="s">
        <v>5073</v>
      </c>
    </row>
    <row r="2538">
      <c r="A2538" s="4" t="s">
        <v>5074</v>
      </c>
      <c r="B2538" s="4" t="s">
        <v>5075</v>
      </c>
    </row>
    <row r="2539">
      <c r="A2539" s="4" t="s">
        <v>5076</v>
      </c>
      <c r="B2539" s="4" t="s">
        <v>5077</v>
      </c>
    </row>
    <row r="2540">
      <c r="A2540" s="4" t="s">
        <v>5078</v>
      </c>
      <c r="B2540" s="4" t="s">
        <v>5079</v>
      </c>
    </row>
    <row r="2541">
      <c r="A2541" s="4" t="s">
        <v>5080</v>
      </c>
      <c r="B2541" s="4" t="s">
        <v>5081</v>
      </c>
    </row>
    <row r="2542">
      <c r="A2542" s="4" t="s">
        <v>5082</v>
      </c>
      <c r="B2542" s="4" t="s">
        <v>5083</v>
      </c>
    </row>
    <row r="2543">
      <c r="A2543" s="4" t="s">
        <v>5084</v>
      </c>
      <c r="B2543" s="4" t="s">
        <v>5085</v>
      </c>
    </row>
    <row r="2544">
      <c r="A2544" s="4" t="s">
        <v>5086</v>
      </c>
      <c r="B2544" s="4" t="s">
        <v>5087</v>
      </c>
    </row>
    <row r="2545">
      <c r="A2545" s="4" t="s">
        <v>5088</v>
      </c>
      <c r="B2545" s="4" t="s">
        <v>5089</v>
      </c>
    </row>
    <row r="2546">
      <c r="A2546" s="4" t="s">
        <v>5090</v>
      </c>
      <c r="B2546" s="4" t="s">
        <v>5091</v>
      </c>
    </row>
    <row r="2547">
      <c r="A2547" s="4" t="s">
        <v>5092</v>
      </c>
      <c r="B2547" s="4" t="s">
        <v>5093</v>
      </c>
    </row>
    <row r="2548">
      <c r="A2548" s="4" t="s">
        <v>5094</v>
      </c>
      <c r="B2548" s="4" t="s">
        <v>5095</v>
      </c>
    </row>
    <row r="2549">
      <c r="A2549" s="4" t="s">
        <v>5096</v>
      </c>
      <c r="B2549" s="4" t="s">
        <v>5097</v>
      </c>
    </row>
    <row r="2550">
      <c r="A2550" s="4" t="s">
        <v>5098</v>
      </c>
      <c r="B2550" s="4" t="s">
        <v>5099</v>
      </c>
    </row>
    <row r="2551">
      <c r="A2551" s="4" t="s">
        <v>5100</v>
      </c>
      <c r="B2551" s="4" t="s">
        <v>5101</v>
      </c>
    </row>
    <row r="2552">
      <c r="A2552" s="4" t="s">
        <v>5102</v>
      </c>
      <c r="B2552" s="4" t="s">
        <v>5103</v>
      </c>
    </row>
    <row r="2553">
      <c r="A2553" s="4" t="s">
        <v>5104</v>
      </c>
      <c r="B2553" s="4" t="s">
        <v>5105</v>
      </c>
    </row>
    <row r="2554">
      <c r="A2554" s="4" t="s">
        <v>5106</v>
      </c>
      <c r="B2554" s="4" t="s">
        <v>5107</v>
      </c>
    </row>
    <row r="2555">
      <c r="A2555" s="4" t="s">
        <v>5108</v>
      </c>
      <c r="B2555" s="4" t="s">
        <v>5109</v>
      </c>
    </row>
    <row r="2556">
      <c r="A2556" s="4" t="s">
        <v>5110</v>
      </c>
      <c r="B2556" s="4" t="s">
        <v>5111</v>
      </c>
    </row>
    <row r="2557">
      <c r="A2557" s="4" t="s">
        <v>5112</v>
      </c>
      <c r="B2557" s="4" t="s">
        <v>5113</v>
      </c>
    </row>
    <row r="2558">
      <c r="A2558" s="4" t="s">
        <v>5114</v>
      </c>
      <c r="B2558" s="4" t="s">
        <v>5115</v>
      </c>
    </row>
    <row r="2559">
      <c r="A2559" s="4" t="s">
        <v>5116</v>
      </c>
      <c r="B2559" s="4" t="s">
        <v>5117</v>
      </c>
    </row>
    <row r="2560">
      <c r="A2560" s="4" t="s">
        <v>5118</v>
      </c>
      <c r="B2560" s="4" t="s">
        <v>5119</v>
      </c>
    </row>
    <row r="2561">
      <c r="A2561" s="4" t="s">
        <v>5120</v>
      </c>
      <c r="B2561" s="4" t="s">
        <v>5121</v>
      </c>
    </row>
    <row r="2562">
      <c r="A2562" s="4" t="s">
        <v>5122</v>
      </c>
      <c r="B2562" s="4" t="s">
        <v>5123</v>
      </c>
    </row>
    <row r="2563">
      <c r="A2563" s="4" t="s">
        <v>5124</v>
      </c>
      <c r="B2563" s="4" t="s">
        <v>5125</v>
      </c>
    </row>
    <row r="2564">
      <c r="A2564" s="4" t="s">
        <v>5126</v>
      </c>
      <c r="B2564" s="4" t="s">
        <v>5127</v>
      </c>
    </row>
    <row r="2565">
      <c r="A2565" s="4" t="s">
        <v>5128</v>
      </c>
      <c r="B2565" s="4" t="s">
        <v>5129</v>
      </c>
    </row>
    <row r="2566">
      <c r="A2566" s="4" t="s">
        <v>5130</v>
      </c>
      <c r="B2566" s="4" t="s">
        <v>5131</v>
      </c>
    </row>
    <row r="2567">
      <c r="A2567" s="4" t="s">
        <v>5132</v>
      </c>
      <c r="B2567" s="4" t="s">
        <v>5133</v>
      </c>
    </row>
    <row r="2568">
      <c r="A2568" s="4" t="s">
        <v>5134</v>
      </c>
      <c r="B2568" s="4" t="s">
        <v>5135</v>
      </c>
    </row>
    <row r="2569">
      <c r="A2569" s="4" t="s">
        <v>5136</v>
      </c>
      <c r="B2569" s="4" t="s">
        <v>5137</v>
      </c>
    </row>
    <row r="2570">
      <c r="A2570" s="4" t="s">
        <v>5138</v>
      </c>
      <c r="B2570" s="4" t="s">
        <v>5139</v>
      </c>
    </row>
    <row r="2571">
      <c r="A2571" s="4" t="s">
        <v>5140</v>
      </c>
      <c r="B2571" s="4" t="s">
        <v>5141</v>
      </c>
    </row>
    <row r="2572">
      <c r="A2572" s="4" t="s">
        <v>5142</v>
      </c>
      <c r="B2572" s="4" t="s">
        <v>5143</v>
      </c>
    </row>
    <row r="2573">
      <c r="A2573" s="4" t="s">
        <v>5144</v>
      </c>
      <c r="B2573" s="4" t="s">
        <v>5145</v>
      </c>
    </row>
    <row r="2574">
      <c r="A2574" s="4" t="s">
        <v>5146</v>
      </c>
      <c r="B2574" s="4" t="s">
        <v>5147</v>
      </c>
    </row>
    <row r="2575">
      <c r="A2575" s="4" t="s">
        <v>5148</v>
      </c>
      <c r="B2575" s="4" t="s">
        <v>5149</v>
      </c>
    </row>
    <row r="2576">
      <c r="A2576" s="4" t="s">
        <v>5150</v>
      </c>
      <c r="B2576" s="4" t="s">
        <v>5151</v>
      </c>
    </row>
    <row r="2577">
      <c r="A2577" s="4" t="s">
        <v>5152</v>
      </c>
      <c r="B2577" s="4" t="s">
        <v>5153</v>
      </c>
    </row>
    <row r="2578">
      <c r="A2578" s="4" t="s">
        <v>5154</v>
      </c>
      <c r="B2578" s="4" t="s">
        <v>5155</v>
      </c>
    </row>
    <row r="2579">
      <c r="A2579" s="4" t="s">
        <v>5156</v>
      </c>
      <c r="B2579" s="4" t="s">
        <v>5157</v>
      </c>
    </row>
    <row r="2580">
      <c r="A2580" s="4" t="s">
        <v>5158</v>
      </c>
      <c r="B2580" s="4" t="s">
        <v>5159</v>
      </c>
    </row>
    <row r="2581">
      <c r="A2581" s="4" t="s">
        <v>5160</v>
      </c>
      <c r="B2581" s="4" t="s">
        <v>5161</v>
      </c>
    </row>
    <row r="2582">
      <c r="A2582" s="4" t="s">
        <v>5162</v>
      </c>
      <c r="B2582" s="4" t="s">
        <v>5163</v>
      </c>
    </row>
    <row r="2583">
      <c r="A2583" s="4" t="s">
        <v>5164</v>
      </c>
      <c r="B2583" s="4" t="s">
        <v>5165</v>
      </c>
    </row>
    <row r="2584">
      <c r="A2584" s="4" t="s">
        <v>5166</v>
      </c>
      <c r="B2584" s="4" t="s">
        <v>5167</v>
      </c>
    </row>
    <row r="2585">
      <c r="A2585" s="4" t="s">
        <v>5168</v>
      </c>
      <c r="B2585" s="4" t="s">
        <v>5169</v>
      </c>
    </row>
    <row r="2586">
      <c r="A2586" s="4" t="s">
        <v>5170</v>
      </c>
      <c r="B2586" s="4" t="s">
        <v>5171</v>
      </c>
    </row>
    <row r="2587">
      <c r="A2587" s="4" t="s">
        <v>5172</v>
      </c>
      <c r="B2587" s="4" t="s">
        <v>5173</v>
      </c>
    </row>
    <row r="2588">
      <c r="A2588" s="4" t="s">
        <v>5174</v>
      </c>
      <c r="B2588" s="4" t="s">
        <v>5175</v>
      </c>
    </row>
    <row r="2589">
      <c r="A2589" s="4" t="s">
        <v>5176</v>
      </c>
      <c r="B2589" s="4" t="s">
        <v>5177</v>
      </c>
    </row>
    <row r="2590">
      <c r="A2590" s="4" t="s">
        <v>5178</v>
      </c>
      <c r="B2590" s="4" t="s">
        <v>5179</v>
      </c>
    </row>
    <row r="2591">
      <c r="A2591" s="4" t="s">
        <v>5180</v>
      </c>
      <c r="B2591" s="4" t="s">
        <v>5181</v>
      </c>
    </row>
    <row r="2592">
      <c r="A2592" s="4" t="s">
        <v>5182</v>
      </c>
      <c r="B2592" s="4" t="s">
        <v>5183</v>
      </c>
    </row>
    <row r="2593">
      <c r="A2593" s="4" t="s">
        <v>5184</v>
      </c>
      <c r="B2593" s="4" t="s">
        <v>5185</v>
      </c>
    </row>
    <row r="2594">
      <c r="A2594" s="4" t="s">
        <v>5186</v>
      </c>
      <c r="B2594" s="4" t="s">
        <v>5187</v>
      </c>
    </row>
    <row r="2595">
      <c r="A2595" s="4" t="s">
        <v>5188</v>
      </c>
      <c r="B2595" s="4" t="s">
        <v>5189</v>
      </c>
    </row>
    <row r="2596">
      <c r="A2596" s="4" t="s">
        <v>5190</v>
      </c>
      <c r="B2596" s="4" t="s">
        <v>5191</v>
      </c>
    </row>
    <row r="2597">
      <c r="A2597" s="4" t="s">
        <v>5192</v>
      </c>
      <c r="B2597" s="4" t="s">
        <v>5193</v>
      </c>
    </row>
    <row r="2598">
      <c r="A2598" s="4" t="s">
        <v>5194</v>
      </c>
      <c r="B2598" s="4" t="s">
        <v>5195</v>
      </c>
    </row>
    <row r="2599">
      <c r="A2599" s="4" t="s">
        <v>5196</v>
      </c>
      <c r="B2599" s="4" t="s">
        <v>5197</v>
      </c>
    </row>
    <row r="2600">
      <c r="A2600" s="4" t="s">
        <v>5198</v>
      </c>
      <c r="B2600" s="4" t="s">
        <v>5199</v>
      </c>
    </row>
    <row r="2601">
      <c r="A2601" s="4" t="s">
        <v>5200</v>
      </c>
      <c r="B2601" s="4" t="s">
        <v>5201</v>
      </c>
    </row>
    <row r="2602">
      <c r="A2602" s="4" t="s">
        <v>5202</v>
      </c>
      <c r="B2602" s="4" t="s">
        <v>5203</v>
      </c>
    </row>
    <row r="2603">
      <c r="A2603" s="4" t="s">
        <v>5204</v>
      </c>
      <c r="B2603" s="4" t="s">
        <v>5205</v>
      </c>
    </row>
    <row r="2604">
      <c r="A2604" s="4" t="s">
        <v>5206</v>
      </c>
      <c r="B2604" s="4" t="s">
        <v>5207</v>
      </c>
    </row>
    <row r="2605">
      <c r="A2605" s="4" t="s">
        <v>5208</v>
      </c>
      <c r="B2605" s="4" t="s">
        <v>5209</v>
      </c>
    </row>
    <row r="2606">
      <c r="A2606" s="4" t="s">
        <v>5210</v>
      </c>
      <c r="B2606" s="4" t="s">
        <v>5211</v>
      </c>
    </row>
    <row r="2607">
      <c r="A2607" s="4" t="s">
        <v>5212</v>
      </c>
      <c r="B2607" s="4" t="s">
        <v>5213</v>
      </c>
    </row>
    <row r="2608">
      <c r="A2608" s="4" t="s">
        <v>5214</v>
      </c>
      <c r="B2608" s="4" t="s">
        <v>5215</v>
      </c>
    </row>
    <row r="2609">
      <c r="A2609" s="4" t="s">
        <v>5216</v>
      </c>
      <c r="B2609" s="4" t="s">
        <v>5217</v>
      </c>
    </row>
    <row r="2610">
      <c r="A2610" s="4" t="s">
        <v>5218</v>
      </c>
      <c r="B2610" s="4" t="s">
        <v>5219</v>
      </c>
    </row>
    <row r="2611">
      <c r="A2611" s="4" t="s">
        <v>5220</v>
      </c>
      <c r="B2611" s="4" t="s">
        <v>5221</v>
      </c>
    </row>
    <row r="2612">
      <c r="A2612" s="4" t="s">
        <v>5222</v>
      </c>
      <c r="B2612" s="4" t="s">
        <v>5223</v>
      </c>
    </row>
    <row r="2613">
      <c r="A2613" s="4" t="s">
        <v>5224</v>
      </c>
      <c r="B2613" s="4" t="s">
        <v>5225</v>
      </c>
    </row>
    <row r="2614">
      <c r="A2614" s="4" t="s">
        <v>5226</v>
      </c>
      <c r="B2614" s="4" t="s">
        <v>5227</v>
      </c>
    </row>
    <row r="2615">
      <c r="A2615" s="4" t="s">
        <v>5228</v>
      </c>
      <c r="B2615" s="4" t="s">
        <v>5229</v>
      </c>
    </row>
    <row r="2616">
      <c r="A2616" s="4" t="s">
        <v>5230</v>
      </c>
      <c r="B2616" s="4" t="s">
        <v>5231</v>
      </c>
    </row>
    <row r="2617">
      <c r="A2617" s="4" t="s">
        <v>5232</v>
      </c>
      <c r="B2617" s="4" t="s">
        <v>5233</v>
      </c>
    </row>
    <row r="2618">
      <c r="A2618" s="4" t="s">
        <v>5234</v>
      </c>
      <c r="B2618" s="4" t="s">
        <v>5235</v>
      </c>
    </row>
    <row r="2619">
      <c r="A2619" s="4" t="s">
        <v>5236</v>
      </c>
      <c r="B2619" s="4" t="s">
        <v>5237</v>
      </c>
    </row>
    <row r="2620">
      <c r="A2620" s="4" t="s">
        <v>5238</v>
      </c>
      <c r="B2620" s="4" t="s">
        <v>5239</v>
      </c>
    </row>
    <row r="2621">
      <c r="A2621" s="4" t="s">
        <v>5240</v>
      </c>
      <c r="B2621" s="4" t="s">
        <v>5241</v>
      </c>
    </row>
    <row r="2622">
      <c r="A2622" s="4" t="s">
        <v>5242</v>
      </c>
      <c r="B2622" s="4" t="s">
        <v>5243</v>
      </c>
    </row>
    <row r="2623">
      <c r="A2623" s="4" t="s">
        <v>5244</v>
      </c>
      <c r="B2623" s="4" t="s">
        <v>5245</v>
      </c>
    </row>
    <row r="2624">
      <c r="A2624" s="4" t="s">
        <v>5246</v>
      </c>
      <c r="B2624" s="4" t="s">
        <v>5247</v>
      </c>
    </row>
    <row r="2625">
      <c r="A2625" s="4" t="s">
        <v>5248</v>
      </c>
      <c r="B2625" s="4" t="s">
        <v>5249</v>
      </c>
    </row>
    <row r="2626">
      <c r="A2626" s="4" t="s">
        <v>5250</v>
      </c>
      <c r="B2626" s="4" t="s">
        <v>5251</v>
      </c>
    </row>
    <row r="2627">
      <c r="A2627" s="4" t="s">
        <v>5252</v>
      </c>
      <c r="B2627" s="4" t="s">
        <v>5253</v>
      </c>
    </row>
    <row r="2628">
      <c r="A2628" s="4" t="s">
        <v>5254</v>
      </c>
      <c r="B2628" s="4" t="s">
        <v>5255</v>
      </c>
    </row>
    <row r="2629">
      <c r="A2629" s="4" t="s">
        <v>5256</v>
      </c>
      <c r="B2629" s="4" t="s">
        <v>5257</v>
      </c>
    </row>
    <row r="2630">
      <c r="A2630" s="4" t="s">
        <v>5258</v>
      </c>
      <c r="B2630" s="4" t="s">
        <v>5259</v>
      </c>
    </row>
    <row r="2631">
      <c r="A2631" s="4" t="s">
        <v>5260</v>
      </c>
      <c r="B2631" s="4" t="s">
        <v>5261</v>
      </c>
    </row>
    <row r="2632">
      <c r="A2632" s="4" t="s">
        <v>5262</v>
      </c>
      <c r="B2632" s="4" t="s">
        <v>5263</v>
      </c>
    </row>
    <row r="2633">
      <c r="A2633" s="4" t="s">
        <v>5264</v>
      </c>
      <c r="B2633" s="4" t="s">
        <v>5265</v>
      </c>
    </row>
    <row r="2634">
      <c r="A2634" s="4" t="s">
        <v>5266</v>
      </c>
      <c r="B2634" s="4" t="s">
        <v>5267</v>
      </c>
    </row>
    <row r="2635">
      <c r="A2635" s="4" t="s">
        <v>5268</v>
      </c>
      <c r="B2635" s="4" t="s">
        <v>5269</v>
      </c>
    </row>
    <row r="2636">
      <c r="A2636" s="4" t="s">
        <v>5270</v>
      </c>
      <c r="B2636" s="4" t="s">
        <v>5271</v>
      </c>
    </row>
    <row r="2637">
      <c r="A2637" s="4" t="s">
        <v>5272</v>
      </c>
      <c r="B2637" s="4" t="s">
        <v>5273</v>
      </c>
    </row>
    <row r="2638">
      <c r="A2638" s="4" t="s">
        <v>5274</v>
      </c>
      <c r="B2638" s="4" t="s">
        <v>5275</v>
      </c>
    </row>
    <row r="2639">
      <c r="A2639" s="4" t="s">
        <v>5276</v>
      </c>
      <c r="B2639" s="4" t="s">
        <v>5277</v>
      </c>
    </row>
    <row r="2640">
      <c r="A2640" s="4" t="s">
        <v>5278</v>
      </c>
      <c r="B2640" s="4" t="s">
        <v>5279</v>
      </c>
    </row>
    <row r="2641">
      <c r="A2641" s="4" t="s">
        <v>5280</v>
      </c>
      <c r="B2641" s="4" t="s">
        <v>5281</v>
      </c>
    </row>
    <row r="2642">
      <c r="A2642" s="4" t="s">
        <v>5282</v>
      </c>
      <c r="B2642" s="4" t="s">
        <v>5283</v>
      </c>
    </row>
    <row r="2643">
      <c r="A2643" s="4" t="s">
        <v>5284</v>
      </c>
      <c r="B2643" s="4" t="s">
        <v>5285</v>
      </c>
    </row>
    <row r="2644">
      <c r="A2644" s="4" t="s">
        <v>5286</v>
      </c>
      <c r="B2644" s="4" t="s">
        <v>5287</v>
      </c>
    </row>
    <row r="2645">
      <c r="A2645" s="4" t="s">
        <v>5288</v>
      </c>
      <c r="B2645" s="4" t="s">
        <v>5289</v>
      </c>
    </row>
    <row r="2646">
      <c r="A2646" s="4" t="s">
        <v>5290</v>
      </c>
      <c r="B2646" s="4" t="s">
        <v>5291</v>
      </c>
    </row>
    <row r="2647">
      <c r="A2647" s="4" t="s">
        <v>5292</v>
      </c>
      <c r="B2647" s="4" t="s">
        <v>5293</v>
      </c>
    </row>
    <row r="2648">
      <c r="A2648" s="4" t="s">
        <v>5294</v>
      </c>
      <c r="B2648" s="4" t="s">
        <v>5295</v>
      </c>
    </row>
    <row r="2649">
      <c r="A2649" s="4" t="s">
        <v>5296</v>
      </c>
      <c r="B2649" s="4" t="s">
        <v>5297</v>
      </c>
    </row>
    <row r="2650">
      <c r="A2650" s="4" t="s">
        <v>5298</v>
      </c>
      <c r="B2650" s="4" t="s">
        <v>5299</v>
      </c>
    </row>
    <row r="2651">
      <c r="A2651" s="4" t="s">
        <v>5300</v>
      </c>
      <c r="B2651" s="4" t="s">
        <v>5301</v>
      </c>
    </row>
    <row r="2652">
      <c r="A2652" s="4" t="s">
        <v>5302</v>
      </c>
      <c r="B2652" s="4" t="s">
        <v>5303</v>
      </c>
    </row>
    <row r="2653">
      <c r="A2653" s="4" t="s">
        <v>5304</v>
      </c>
      <c r="B2653" s="4" t="s">
        <v>5305</v>
      </c>
    </row>
    <row r="2654">
      <c r="A2654" s="4" t="s">
        <v>5306</v>
      </c>
      <c r="B2654" s="4" t="s">
        <v>5307</v>
      </c>
    </row>
    <row r="2655">
      <c r="A2655" s="4" t="s">
        <v>5308</v>
      </c>
      <c r="B2655" s="4" t="s">
        <v>5309</v>
      </c>
    </row>
    <row r="2656">
      <c r="A2656" s="4" t="s">
        <v>5310</v>
      </c>
      <c r="B2656" s="4" t="s">
        <v>5311</v>
      </c>
    </row>
    <row r="2657">
      <c r="A2657" s="4" t="s">
        <v>5312</v>
      </c>
      <c r="B2657" s="4" t="s">
        <v>5313</v>
      </c>
    </row>
    <row r="2658">
      <c r="A2658" s="4" t="s">
        <v>5314</v>
      </c>
      <c r="B2658" s="4" t="s">
        <v>5315</v>
      </c>
    </row>
    <row r="2659">
      <c r="A2659" s="4" t="s">
        <v>5316</v>
      </c>
      <c r="B2659" s="4" t="s">
        <v>5317</v>
      </c>
    </row>
    <row r="2660">
      <c r="A2660" s="4" t="s">
        <v>5318</v>
      </c>
      <c r="B2660" s="4" t="s">
        <v>5319</v>
      </c>
    </row>
    <row r="2661">
      <c r="A2661" s="4" t="s">
        <v>5320</v>
      </c>
      <c r="B2661" s="4" t="s">
        <v>5321</v>
      </c>
    </row>
    <row r="2662">
      <c r="A2662" s="4" t="s">
        <v>5322</v>
      </c>
      <c r="B2662" s="4" t="s">
        <v>5323</v>
      </c>
    </row>
    <row r="2663">
      <c r="A2663" s="4" t="s">
        <v>5324</v>
      </c>
      <c r="B2663" s="4" t="s">
        <v>5325</v>
      </c>
    </row>
    <row r="2664">
      <c r="A2664" s="4" t="s">
        <v>5326</v>
      </c>
      <c r="B2664" s="4" t="s">
        <v>5327</v>
      </c>
    </row>
    <row r="2665">
      <c r="A2665" s="4" t="s">
        <v>5328</v>
      </c>
      <c r="B2665" s="4" t="s">
        <v>5329</v>
      </c>
    </row>
    <row r="2666">
      <c r="A2666" s="4" t="s">
        <v>5330</v>
      </c>
      <c r="B2666" s="4" t="s">
        <v>5331</v>
      </c>
    </row>
    <row r="2667">
      <c r="A2667" s="4" t="s">
        <v>5332</v>
      </c>
      <c r="B2667" s="4" t="s">
        <v>5333</v>
      </c>
    </row>
    <row r="2668">
      <c r="A2668" s="4" t="s">
        <v>5334</v>
      </c>
      <c r="B2668" s="4" t="s">
        <v>5335</v>
      </c>
    </row>
    <row r="2669">
      <c r="A2669" s="4" t="s">
        <v>5336</v>
      </c>
      <c r="B2669" s="4" t="s">
        <v>5337</v>
      </c>
    </row>
    <row r="2670">
      <c r="A2670" s="4" t="s">
        <v>5338</v>
      </c>
      <c r="B2670" s="4" t="s">
        <v>5339</v>
      </c>
    </row>
    <row r="2671">
      <c r="A2671" s="4" t="s">
        <v>5340</v>
      </c>
      <c r="B2671" s="4" t="s">
        <v>5341</v>
      </c>
    </row>
    <row r="2672">
      <c r="A2672" s="4" t="s">
        <v>5342</v>
      </c>
      <c r="B2672" s="4" t="s">
        <v>5343</v>
      </c>
    </row>
    <row r="2673">
      <c r="A2673" s="4" t="s">
        <v>5344</v>
      </c>
      <c r="B2673" s="4" t="s">
        <v>5345</v>
      </c>
    </row>
    <row r="2674">
      <c r="A2674" s="4" t="s">
        <v>5346</v>
      </c>
      <c r="B2674" s="4" t="s">
        <v>5347</v>
      </c>
    </row>
    <row r="2675">
      <c r="A2675" s="4" t="s">
        <v>5348</v>
      </c>
      <c r="B2675" s="4" t="s">
        <v>5349</v>
      </c>
    </row>
    <row r="2676">
      <c r="A2676" s="4" t="s">
        <v>5350</v>
      </c>
      <c r="B2676" s="4" t="s">
        <v>5351</v>
      </c>
    </row>
    <row r="2677">
      <c r="A2677" s="4" t="s">
        <v>5352</v>
      </c>
      <c r="B2677" s="4" t="s">
        <v>5353</v>
      </c>
    </row>
    <row r="2678">
      <c r="A2678" s="4" t="s">
        <v>5354</v>
      </c>
      <c r="B2678" s="4" t="s">
        <v>5355</v>
      </c>
    </row>
    <row r="2679">
      <c r="A2679" s="4" t="s">
        <v>5356</v>
      </c>
      <c r="B2679" s="4" t="s">
        <v>5357</v>
      </c>
    </row>
    <row r="2680">
      <c r="A2680" s="4" t="s">
        <v>5358</v>
      </c>
      <c r="B2680" s="4" t="s">
        <v>5359</v>
      </c>
    </row>
    <row r="2681">
      <c r="A2681" s="4" t="s">
        <v>5360</v>
      </c>
      <c r="B2681" s="4" t="s">
        <v>5361</v>
      </c>
    </row>
    <row r="2682">
      <c r="A2682" s="4" t="s">
        <v>5362</v>
      </c>
      <c r="B2682" s="4" t="s">
        <v>5363</v>
      </c>
    </row>
    <row r="2683">
      <c r="A2683" s="4" t="s">
        <v>5364</v>
      </c>
      <c r="B2683" s="4" t="s">
        <v>5365</v>
      </c>
    </row>
    <row r="2684">
      <c r="A2684" s="4" t="s">
        <v>5366</v>
      </c>
      <c r="B2684" s="4" t="s">
        <v>5367</v>
      </c>
    </row>
    <row r="2685">
      <c r="A2685" s="4" t="s">
        <v>5368</v>
      </c>
      <c r="B2685" s="4" t="s">
        <v>5369</v>
      </c>
    </row>
    <row r="2686">
      <c r="A2686" s="4" t="s">
        <v>5370</v>
      </c>
      <c r="B2686" s="4" t="s">
        <v>5371</v>
      </c>
    </row>
    <row r="2687">
      <c r="A2687" s="4" t="s">
        <v>5372</v>
      </c>
      <c r="B2687" s="4" t="s">
        <v>5373</v>
      </c>
    </row>
    <row r="2688">
      <c r="A2688" s="4" t="s">
        <v>5374</v>
      </c>
      <c r="B2688" s="4" t="s">
        <v>5375</v>
      </c>
    </row>
    <row r="2689">
      <c r="A2689" s="4" t="s">
        <v>5376</v>
      </c>
      <c r="B2689" s="4" t="s">
        <v>5377</v>
      </c>
    </row>
    <row r="2690">
      <c r="A2690" s="4" t="s">
        <v>5378</v>
      </c>
      <c r="B2690" s="4" t="s">
        <v>5379</v>
      </c>
    </row>
    <row r="2691">
      <c r="A2691" s="4" t="s">
        <v>5380</v>
      </c>
      <c r="B2691" s="4" t="s">
        <v>5381</v>
      </c>
    </row>
    <row r="2692">
      <c r="A2692" s="4" t="s">
        <v>5382</v>
      </c>
      <c r="B2692" s="4" t="s">
        <v>5383</v>
      </c>
    </row>
    <row r="2693">
      <c r="A2693" s="4" t="s">
        <v>5384</v>
      </c>
      <c r="B2693" s="4" t="s">
        <v>5385</v>
      </c>
    </row>
    <row r="2694">
      <c r="A2694" s="4" t="s">
        <v>5386</v>
      </c>
      <c r="B2694" s="4" t="s">
        <v>5387</v>
      </c>
    </row>
    <row r="2695">
      <c r="A2695" s="4" t="s">
        <v>5388</v>
      </c>
      <c r="B2695" s="4" t="s">
        <v>5389</v>
      </c>
    </row>
    <row r="2696">
      <c r="A2696" s="4" t="s">
        <v>5390</v>
      </c>
      <c r="B2696" s="4" t="s">
        <v>5391</v>
      </c>
    </row>
    <row r="2697">
      <c r="A2697" s="4" t="s">
        <v>5392</v>
      </c>
      <c r="B2697" s="4" t="s">
        <v>5393</v>
      </c>
    </row>
    <row r="2698">
      <c r="A2698" s="4" t="s">
        <v>5394</v>
      </c>
      <c r="B2698" s="4" t="s">
        <v>5395</v>
      </c>
    </row>
    <row r="2699">
      <c r="A2699" s="4" t="s">
        <v>5396</v>
      </c>
      <c r="B2699" s="4" t="s">
        <v>5397</v>
      </c>
    </row>
    <row r="2700">
      <c r="A2700" s="4" t="s">
        <v>5398</v>
      </c>
      <c r="B2700" s="4" t="s">
        <v>5399</v>
      </c>
    </row>
    <row r="2701">
      <c r="A2701" s="4" t="s">
        <v>5400</v>
      </c>
      <c r="B2701" s="4" t="s">
        <v>5401</v>
      </c>
    </row>
    <row r="2702">
      <c r="A2702" s="4" t="s">
        <v>5402</v>
      </c>
      <c r="B2702" s="4" t="s">
        <v>5403</v>
      </c>
    </row>
    <row r="2703">
      <c r="A2703" s="4" t="s">
        <v>5404</v>
      </c>
      <c r="B2703" s="4" t="s">
        <v>5405</v>
      </c>
    </row>
    <row r="2704">
      <c r="A2704" s="4" t="s">
        <v>5406</v>
      </c>
      <c r="B2704" s="4" t="s">
        <v>5407</v>
      </c>
    </row>
    <row r="2705">
      <c r="A2705" s="4" t="s">
        <v>5408</v>
      </c>
      <c r="B2705" s="4" t="s">
        <v>5409</v>
      </c>
    </row>
    <row r="2706">
      <c r="A2706" s="4" t="s">
        <v>5410</v>
      </c>
      <c r="B2706" s="4" t="s">
        <v>5411</v>
      </c>
    </row>
    <row r="2707">
      <c r="A2707" s="4" t="s">
        <v>5412</v>
      </c>
      <c r="B2707" s="4" t="s">
        <v>5413</v>
      </c>
    </row>
    <row r="2708">
      <c r="A2708" s="4" t="s">
        <v>5414</v>
      </c>
      <c r="B2708" s="4" t="s">
        <v>5415</v>
      </c>
    </row>
    <row r="2709">
      <c r="A2709" s="4" t="s">
        <v>5416</v>
      </c>
      <c r="B2709" s="4" t="s">
        <v>5417</v>
      </c>
    </row>
    <row r="2710">
      <c r="A2710" s="4" t="s">
        <v>5418</v>
      </c>
      <c r="B2710" s="4" t="s">
        <v>5419</v>
      </c>
    </row>
    <row r="2711">
      <c r="A2711" s="4" t="s">
        <v>5420</v>
      </c>
      <c r="B2711" s="4" t="s">
        <v>5421</v>
      </c>
    </row>
    <row r="2712">
      <c r="A2712" s="4" t="s">
        <v>5422</v>
      </c>
      <c r="B2712" s="4" t="s">
        <v>5423</v>
      </c>
    </row>
    <row r="2713">
      <c r="A2713" s="4" t="s">
        <v>5424</v>
      </c>
      <c r="B2713" s="4" t="s">
        <v>5425</v>
      </c>
    </row>
    <row r="2714">
      <c r="A2714" s="4" t="s">
        <v>5426</v>
      </c>
      <c r="B2714" s="4" t="s">
        <v>5427</v>
      </c>
    </row>
    <row r="2715">
      <c r="A2715" s="4" t="s">
        <v>5428</v>
      </c>
      <c r="B2715" s="4" t="s">
        <v>5429</v>
      </c>
    </row>
    <row r="2716">
      <c r="A2716" s="4" t="s">
        <v>5430</v>
      </c>
      <c r="B2716" s="4" t="s">
        <v>5431</v>
      </c>
    </row>
    <row r="2717">
      <c r="A2717" s="4" t="s">
        <v>5432</v>
      </c>
      <c r="B2717" s="4" t="s">
        <v>5433</v>
      </c>
    </row>
    <row r="2718">
      <c r="A2718" s="4" t="s">
        <v>5434</v>
      </c>
      <c r="B2718" s="4" t="s">
        <v>5435</v>
      </c>
    </row>
    <row r="2719">
      <c r="A2719" s="4" t="s">
        <v>5436</v>
      </c>
      <c r="B2719" s="4" t="s">
        <v>5437</v>
      </c>
    </row>
    <row r="2720">
      <c r="A2720" s="4" t="s">
        <v>5438</v>
      </c>
      <c r="B2720" s="4" t="s">
        <v>5439</v>
      </c>
    </row>
    <row r="2721">
      <c r="A2721" s="4" t="s">
        <v>5440</v>
      </c>
      <c r="B2721" s="4" t="s">
        <v>5441</v>
      </c>
    </row>
    <row r="2722">
      <c r="A2722" s="4" t="s">
        <v>5442</v>
      </c>
      <c r="B2722" s="4" t="s">
        <v>5443</v>
      </c>
    </row>
    <row r="2723">
      <c r="A2723" s="4" t="s">
        <v>5444</v>
      </c>
      <c r="B2723" s="4" t="s">
        <v>5445</v>
      </c>
    </row>
    <row r="2724">
      <c r="A2724" s="4" t="s">
        <v>5446</v>
      </c>
      <c r="B2724" s="4" t="s">
        <v>5447</v>
      </c>
    </row>
    <row r="2725">
      <c r="A2725" s="4" t="s">
        <v>5448</v>
      </c>
      <c r="B2725" s="4" t="s">
        <v>5449</v>
      </c>
    </row>
    <row r="2726">
      <c r="A2726" s="4" t="s">
        <v>5450</v>
      </c>
      <c r="B2726" s="4" t="s">
        <v>5451</v>
      </c>
    </row>
    <row r="2727">
      <c r="A2727" s="4" t="s">
        <v>5452</v>
      </c>
      <c r="B2727" s="4" t="s">
        <v>5453</v>
      </c>
    </row>
    <row r="2728">
      <c r="A2728" s="4" t="s">
        <v>5454</v>
      </c>
      <c r="B2728" s="4" t="s">
        <v>5455</v>
      </c>
    </row>
    <row r="2729">
      <c r="A2729" s="4" t="s">
        <v>5456</v>
      </c>
      <c r="B2729" s="4" t="s">
        <v>5457</v>
      </c>
    </row>
    <row r="2730">
      <c r="A2730" s="4" t="s">
        <v>5458</v>
      </c>
      <c r="B2730" s="4" t="s">
        <v>5459</v>
      </c>
    </row>
    <row r="2731">
      <c r="A2731" s="4" t="s">
        <v>5460</v>
      </c>
      <c r="B2731" s="4" t="s">
        <v>5461</v>
      </c>
    </row>
    <row r="2732">
      <c r="A2732" s="4" t="s">
        <v>5462</v>
      </c>
      <c r="B2732" s="4" t="s">
        <v>5463</v>
      </c>
    </row>
    <row r="2733">
      <c r="A2733" s="4" t="s">
        <v>5464</v>
      </c>
      <c r="B2733" s="4" t="s">
        <v>5465</v>
      </c>
    </row>
    <row r="2734">
      <c r="A2734" s="4" t="s">
        <v>5466</v>
      </c>
      <c r="B2734" s="4" t="s">
        <v>5467</v>
      </c>
    </row>
    <row r="2735">
      <c r="A2735" s="4" t="s">
        <v>5468</v>
      </c>
      <c r="B2735" s="4" t="s">
        <v>5469</v>
      </c>
    </row>
    <row r="2736">
      <c r="A2736" s="4" t="s">
        <v>5470</v>
      </c>
      <c r="B2736" s="4" t="s">
        <v>5471</v>
      </c>
    </row>
    <row r="2737">
      <c r="A2737" s="4" t="s">
        <v>5472</v>
      </c>
      <c r="B2737" s="4" t="s">
        <v>5473</v>
      </c>
    </row>
    <row r="2738">
      <c r="A2738" s="4" t="s">
        <v>5474</v>
      </c>
      <c r="B2738" s="4" t="s">
        <v>5475</v>
      </c>
    </row>
    <row r="2739">
      <c r="A2739" s="4" t="s">
        <v>5476</v>
      </c>
      <c r="B2739" s="4" t="s">
        <v>5477</v>
      </c>
    </row>
    <row r="2740">
      <c r="A2740" s="4" t="s">
        <v>5478</v>
      </c>
      <c r="B2740" s="4" t="s">
        <v>5479</v>
      </c>
    </row>
    <row r="2741">
      <c r="A2741" s="4" t="s">
        <v>5480</v>
      </c>
      <c r="B2741" s="4" t="s">
        <v>5481</v>
      </c>
    </row>
    <row r="2742">
      <c r="A2742" s="4" t="s">
        <v>5482</v>
      </c>
      <c r="B2742" s="4" t="s">
        <v>5483</v>
      </c>
    </row>
    <row r="2743">
      <c r="A2743" s="4" t="s">
        <v>5484</v>
      </c>
      <c r="B2743" s="4" t="s">
        <v>5485</v>
      </c>
    </row>
    <row r="2744">
      <c r="A2744" s="4" t="s">
        <v>5486</v>
      </c>
      <c r="B2744" s="4" t="s">
        <v>5487</v>
      </c>
    </row>
    <row r="2745">
      <c r="A2745" s="4" t="s">
        <v>5488</v>
      </c>
      <c r="B2745" s="4" t="s">
        <v>5489</v>
      </c>
    </row>
    <row r="2746">
      <c r="A2746" s="4" t="s">
        <v>5490</v>
      </c>
      <c r="B2746" s="4" t="s">
        <v>5491</v>
      </c>
    </row>
    <row r="2747">
      <c r="A2747" s="4" t="s">
        <v>5492</v>
      </c>
      <c r="B2747" s="4" t="s">
        <v>5493</v>
      </c>
    </row>
    <row r="2748">
      <c r="A2748" s="4" t="s">
        <v>5494</v>
      </c>
      <c r="B2748" s="4" t="s">
        <v>5495</v>
      </c>
    </row>
    <row r="2749">
      <c r="A2749" s="4" t="s">
        <v>5496</v>
      </c>
      <c r="B2749" s="4" t="s">
        <v>5497</v>
      </c>
    </row>
    <row r="2750">
      <c r="A2750" s="4" t="s">
        <v>5498</v>
      </c>
      <c r="B2750" s="4" t="s">
        <v>5499</v>
      </c>
    </row>
    <row r="2751">
      <c r="A2751" s="4" t="s">
        <v>5500</v>
      </c>
      <c r="B2751" s="4" t="s">
        <v>5501</v>
      </c>
    </row>
    <row r="2752">
      <c r="A2752" s="4" t="s">
        <v>5502</v>
      </c>
      <c r="B2752" s="4" t="s">
        <v>5503</v>
      </c>
    </row>
    <row r="2753">
      <c r="A2753" s="4" t="s">
        <v>5504</v>
      </c>
      <c r="B2753" s="4" t="s">
        <v>5505</v>
      </c>
    </row>
    <row r="2754">
      <c r="A2754" s="4" t="s">
        <v>5506</v>
      </c>
      <c r="B2754" s="4" t="s">
        <v>5507</v>
      </c>
    </row>
    <row r="2755">
      <c r="A2755" s="4" t="s">
        <v>5508</v>
      </c>
      <c r="B2755" s="4" t="s">
        <v>5509</v>
      </c>
    </row>
    <row r="2756">
      <c r="A2756" s="4" t="s">
        <v>5510</v>
      </c>
      <c r="B2756" s="4" t="s">
        <v>5511</v>
      </c>
    </row>
    <row r="2757">
      <c r="A2757" s="4" t="s">
        <v>5512</v>
      </c>
      <c r="B2757" s="4" t="s">
        <v>5513</v>
      </c>
    </row>
    <row r="2758">
      <c r="A2758" s="4" t="s">
        <v>5514</v>
      </c>
      <c r="B2758" s="4" t="s">
        <v>5515</v>
      </c>
    </row>
    <row r="2759">
      <c r="A2759" s="4" t="s">
        <v>5516</v>
      </c>
      <c r="B2759" s="4" t="s">
        <v>5517</v>
      </c>
    </row>
    <row r="2760">
      <c r="A2760" s="4" t="s">
        <v>5518</v>
      </c>
      <c r="B2760" s="4" t="s">
        <v>5519</v>
      </c>
    </row>
    <row r="2761">
      <c r="A2761" s="4" t="s">
        <v>5520</v>
      </c>
      <c r="B2761" s="4" t="s">
        <v>5521</v>
      </c>
    </row>
    <row r="2762">
      <c r="A2762" s="4" t="s">
        <v>5522</v>
      </c>
      <c r="B2762" s="4" t="s">
        <v>5523</v>
      </c>
    </row>
    <row r="2763">
      <c r="A2763" s="4" t="s">
        <v>5524</v>
      </c>
      <c r="B2763" s="4" t="s">
        <v>5525</v>
      </c>
    </row>
    <row r="2764">
      <c r="A2764" s="4" t="s">
        <v>5526</v>
      </c>
      <c r="B2764" s="4" t="s">
        <v>5527</v>
      </c>
    </row>
    <row r="2765">
      <c r="A2765" s="4" t="s">
        <v>5528</v>
      </c>
      <c r="B2765" s="4" t="s">
        <v>5529</v>
      </c>
    </row>
    <row r="2766">
      <c r="A2766" s="4" t="s">
        <v>5530</v>
      </c>
      <c r="B2766" s="4" t="s">
        <v>5531</v>
      </c>
    </row>
    <row r="2767">
      <c r="A2767" s="4" t="s">
        <v>5532</v>
      </c>
      <c r="B2767" s="4" t="s">
        <v>5533</v>
      </c>
    </row>
    <row r="2768">
      <c r="A2768" s="4" t="s">
        <v>5534</v>
      </c>
      <c r="B2768" s="4" t="s">
        <v>5535</v>
      </c>
    </row>
    <row r="2769">
      <c r="A2769" s="4" t="s">
        <v>5536</v>
      </c>
      <c r="B2769" s="4" t="s">
        <v>5537</v>
      </c>
    </row>
    <row r="2770">
      <c r="A2770" s="4" t="s">
        <v>5538</v>
      </c>
      <c r="B2770" s="4" t="s">
        <v>5539</v>
      </c>
    </row>
    <row r="2771">
      <c r="A2771" s="4" t="s">
        <v>5540</v>
      </c>
      <c r="B2771" s="4" t="s">
        <v>5541</v>
      </c>
    </row>
    <row r="2772">
      <c r="A2772" s="4" t="s">
        <v>5542</v>
      </c>
      <c r="B2772" s="4" t="s">
        <v>5543</v>
      </c>
    </row>
    <row r="2773">
      <c r="A2773" s="4" t="s">
        <v>5544</v>
      </c>
      <c r="B2773" s="4" t="s">
        <v>5545</v>
      </c>
    </row>
    <row r="2774">
      <c r="A2774" s="4" t="s">
        <v>5546</v>
      </c>
      <c r="B2774" s="4" t="s">
        <v>5547</v>
      </c>
    </row>
    <row r="2775">
      <c r="A2775" s="4" t="s">
        <v>5548</v>
      </c>
      <c r="B2775" s="4" t="s">
        <v>5549</v>
      </c>
    </row>
    <row r="2776">
      <c r="A2776" s="4" t="s">
        <v>5550</v>
      </c>
      <c r="B2776" s="4" t="s">
        <v>5551</v>
      </c>
    </row>
    <row r="2777">
      <c r="A2777" s="4" t="s">
        <v>5552</v>
      </c>
      <c r="B2777" s="4" t="s">
        <v>5553</v>
      </c>
    </row>
    <row r="2778">
      <c r="A2778" s="4" t="s">
        <v>5554</v>
      </c>
      <c r="B2778" s="4" t="s">
        <v>5555</v>
      </c>
    </row>
    <row r="2779">
      <c r="A2779" s="4" t="s">
        <v>5556</v>
      </c>
      <c r="B2779" s="4" t="s">
        <v>5557</v>
      </c>
    </row>
    <row r="2780">
      <c r="A2780" s="4" t="s">
        <v>5558</v>
      </c>
      <c r="B2780" s="4" t="s">
        <v>5559</v>
      </c>
    </row>
    <row r="2781">
      <c r="A2781" s="4" t="s">
        <v>5560</v>
      </c>
      <c r="B2781" s="4" t="s">
        <v>5561</v>
      </c>
    </row>
    <row r="2782">
      <c r="A2782" s="4" t="s">
        <v>5562</v>
      </c>
      <c r="B2782" s="4" t="s">
        <v>5563</v>
      </c>
    </row>
    <row r="2783">
      <c r="A2783" s="4" t="s">
        <v>5564</v>
      </c>
      <c r="B2783" s="4" t="s">
        <v>5565</v>
      </c>
    </row>
    <row r="2784">
      <c r="A2784" s="4" t="s">
        <v>5566</v>
      </c>
      <c r="B2784" s="4" t="s">
        <v>5567</v>
      </c>
    </row>
    <row r="2785">
      <c r="A2785" s="4" t="s">
        <v>5568</v>
      </c>
      <c r="B2785" s="4" t="s">
        <v>5569</v>
      </c>
    </row>
    <row r="2786">
      <c r="A2786" s="4" t="s">
        <v>5570</v>
      </c>
      <c r="B2786" s="4" t="s">
        <v>5571</v>
      </c>
    </row>
    <row r="2787">
      <c r="A2787" s="4" t="s">
        <v>5572</v>
      </c>
      <c r="B2787" s="4" t="s">
        <v>5573</v>
      </c>
    </row>
    <row r="2788">
      <c r="A2788" s="4" t="s">
        <v>5574</v>
      </c>
      <c r="B2788" s="4" t="s">
        <v>5575</v>
      </c>
    </row>
    <row r="2789">
      <c r="A2789" s="4" t="s">
        <v>5576</v>
      </c>
      <c r="B2789" s="4" t="s">
        <v>5577</v>
      </c>
    </row>
    <row r="2790">
      <c r="A2790" s="4" t="s">
        <v>5578</v>
      </c>
      <c r="B2790" s="4" t="s">
        <v>5579</v>
      </c>
    </row>
    <row r="2791">
      <c r="A2791" s="4" t="s">
        <v>5580</v>
      </c>
      <c r="B2791" s="4" t="s">
        <v>5581</v>
      </c>
    </row>
    <row r="2792">
      <c r="A2792" s="4" t="s">
        <v>5582</v>
      </c>
      <c r="B2792" s="4" t="s">
        <v>5583</v>
      </c>
    </row>
    <row r="2793">
      <c r="A2793" s="4" t="s">
        <v>5584</v>
      </c>
      <c r="B2793" s="4" t="s">
        <v>5585</v>
      </c>
    </row>
    <row r="2794">
      <c r="A2794" s="4" t="s">
        <v>5586</v>
      </c>
      <c r="B2794" s="4" t="s">
        <v>5587</v>
      </c>
    </row>
    <row r="2795">
      <c r="A2795" s="4" t="s">
        <v>5588</v>
      </c>
      <c r="B2795" s="4" t="s">
        <v>5589</v>
      </c>
    </row>
    <row r="2796">
      <c r="A2796" s="4" t="s">
        <v>5590</v>
      </c>
      <c r="B2796" s="4" t="s">
        <v>5591</v>
      </c>
    </row>
    <row r="2797">
      <c r="A2797" s="4" t="s">
        <v>5592</v>
      </c>
      <c r="B2797" s="4" t="s">
        <v>5593</v>
      </c>
    </row>
    <row r="2798">
      <c r="A2798" s="4" t="s">
        <v>5594</v>
      </c>
      <c r="B2798" s="4" t="s">
        <v>5595</v>
      </c>
    </row>
    <row r="2799">
      <c r="A2799" s="4" t="s">
        <v>5596</v>
      </c>
      <c r="B2799" s="4" t="s">
        <v>5597</v>
      </c>
    </row>
    <row r="2800">
      <c r="A2800" s="4" t="s">
        <v>5598</v>
      </c>
      <c r="B2800" s="4" t="s">
        <v>5599</v>
      </c>
    </row>
    <row r="2801">
      <c r="A2801" s="4" t="s">
        <v>5600</v>
      </c>
      <c r="B2801" s="4" t="s">
        <v>5601</v>
      </c>
    </row>
    <row r="2802">
      <c r="A2802" s="4" t="s">
        <v>5602</v>
      </c>
      <c r="B2802" s="4" t="s">
        <v>5603</v>
      </c>
    </row>
    <row r="2803">
      <c r="A2803" s="4" t="s">
        <v>5604</v>
      </c>
      <c r="B2803" s="4" t="s">
        <v>5605</v>
      </c>
    </row>
    <row r="2804">
      <c r="A2804" s="4" t="s">
        <v>5606</v>
      </c>
      <c r="B2804" s="4" t="s">
        <v>5607</v>
      </c>
    </row>
    <row r="2805">
      <c r="A2805" s="4" t="s">
        <v>5608</v>
      </c>
      <c r="B2805" s="4" t="s">
        <v>5609</v>
      </c>
    </row>
    <row r="2806">
      <c r="A2806" s="4" t="s">
        <v>5610</v>
      </c>
      <c r="B2806" s="4" t="s">
        <v>5611</v>
      </c>
    </row>
    <row r="2807">
      <c r="A2807" s="4" t="s">
        <v>5612</v>
      </c>
      <c r="B2807" s="4" t="s">
        <v>5613</v>
      </c>
    </row>
    <row r="2808">
      <c r="A2808" s="4" t="s">
        <v>5614</v>
      </c>
      <c r="B2808" s="4" t="s">
        <v>5615</v>
      </c>
    </row>
    <row r="2809">
      <c r="A2809" s="4" t="s">
        <v>5616</v>
      </c>
      <c r="B2809" s="4" t="s">
        <v>5617</v>
      </c>
    </row>
    <row r="2810">
      <c r="A2810" s="4" t="s">
        <v>5618</v>
      </c>
      <c r="B2810" s="4" t="s">
        <v>5619</v>
      </c>
    </row>
    <row r="2811">
      <c r="A2811" s="4" t="s">
        <v>5620</v>
      </c>
      <c r="B2811" s="4" t="s">
        <v>5621</v>
      </c>
    </row>
    <row r="2812">
      <c r="A2812" s="4" t="s">
        <v>5622</v>
      </c>
      <c r="B2812" s="4" t="s">
        <v>5623</v>
      </c>
    </row>
    <row r="2813">
      <c r="A2813" s="4" t="s">
        <v>5624</v>
      </c>
      <c r="B2813" s="4" t="s">
        <v>5625</v>
      </c>
    </row>
    <row r="2814">
      <c r="A2814" s="4" t="s">
        <v>5626</v>
      </c>
      <c r="B2814" s="4" t="s">
        <v>5627</v>
      </c>
    </row>
    <row r="2815">
      <c r="A2815" s="4" t="s">
        <v>5628</v>
      </c>
      <c r="B2815" s="4" t="s">
        <v>5629</v>
      </c>
    </row>
    <row r="2816">
      <c r="A2816" s="4" t="s">
        <v>5630</v>
      </c>
      <c r="B2816" s="4" t="s">
        <v>5631</v>
      </c>
    </row>
    <row r="2817">
      <c r="A2817" s="4" t="s">
        <v>5632</v>
      </c>
      <c r="B2817" s="4" t="s">
        <v>5633</v>
      </c>
    </row>
    <row r="2818">
      <c r="A2818" s="4" t="s">
        <v>5634</v>
      </c>
      <c r="B2818" s="4" t="s">
        <v>5635</v>
      </c>
    </row>
    <row r="2819">
      <c r="A2819" s="4" t="s">
        <v>5636</v>
      </c>
      <c r="B2819" s="4" t="s">
        <v>5637</v>
      </c>
    </row>
    <row r="2820">
      <c r="A2820" s="4" t="s">
        <v>5638</v>
      </c>
      <c r="B2820" s="4" t="s">
        <v>5639</v>
      </c>
    </row>
    <row r="2821">
      <c r="A2821" s="4" t="s">
        <v>5640</v>
      </c>
      <c r="B2821" s="4" t="s">
        <v>5641</v>
      </c>
    </row>
    <row r="2822">
      <c r="A2822" s="4" t="s">
        <v>5642</v>
      </c>
      <c r="B2822" s="4" t="s">
        <v>5643</v>
      </c>
    </row>
    <row r="2823">
      <c r="A2823" s="4" t="s">
        <v>5644</v>
      </c>
      <c r="B2823" s="4" t="s">
        <v>5645</v>
      </c>
    </row>
    <row r="2824">
      <c r="A2824" s="4" t="s">
        <v>5646</v>
      </c>
      <c r="B2824" s="4" t="s">
        <v>5647</v>
      </c>
    </row>
    <row r="2825">
      <c r="A2825" s="4" t="s">
        <v>5648</v>
      </c>
      <c r="B2825" s="4" t="s">
        <v>5649</v>
      </c>
    </row>
    <row r="2826">
      <c r="A2826" s="4" t="s">
        <v>5650</v>
      </c>
      <c r="B2826" s="4" t="s">
        <v>5651</v>
      </c>
    </row>
    <row r="2827">
      <c r="A2827" s="4" t="s">
        <v>5652</v>
      </c>
      <c r="B2827" s="4" t="s">
        <v>5653</v>
      </c>
    </row>
    <row r="2828">
      <c r="A2828" s="4" t="s">
        <v>5654</v>
      </c>
      <c r="B2828" s="4" t="s">
        <v>5655</v>
      </c>
    </row>
    <row r="2829">
      <c r="A2829" s="4" t="s">
        <v>5656</v>
      </c>
      <c r="B2829" s="4" t="s">
        <v>5657</v>
      </c>
    </row>
    <row r="2830">
      <c r="A2830" s="4" t="s">
        <v>5658</v>
      </c>
      <c r="B2830" s="4" t="s">
        <v>5659</v>
      </c>
    </row>
    <row r="2831">
      <c r="A2831" s="4" t="s">
        <v>5660</v>
      </c>
      <c r="B2831" s="4" t="s">
        <v>5661</v>
      </c>
    </row>
    <row r="2832">
      <c r="A2832" s="4" t="s">
        <v>5662</v>
      </c>
      <c r="B2832" s="4" t="s">
        <v>5663</v>
      </c>
    </row>
    <row r="2833">
      <c r="A2833" s="4" t="s">
        <v>5664</v>
      </c>
      <c r="B2833" s="4" t="s">
        <v>5665</v>
      </c>
    </row>
    <row r="2834">
      <c r="A2834" s="4" t="s">
        <v>5666</v>
      </c>
      <c r="B2834" s="4" t="s">
        <v>5667</v>
      </c>
    </row>
    <row r="2835">
      <c r="A2835" s="4" t="s">
        <v>5668</v>
      </c>
      <c r="B2835" s="4" t="s">
        <v>5669</v>
      </c>
    </row>
    <row r="2836">
      <c r="A2836" s="4" t="s">
        <v>5670</v>
      </c>
      <c r="B2836" s="4" t="s">
        <v>5671</v>
      </c>
    </row>
    <row r="2837">
      <c r="A2837" s="4" t="s">
        <v>5672</v>
      </c>
      <c r="B2837" s="4" t="s">
        <v>5673</v>
      </c>
    </row>
    <row r="2838">
      <c r="A2838" s="4" t="s">
        <v>5674</v>
      </c>
      <c r="B2838" s="4" t="s">
        <v>5675</v>
      </c>
    </row>
    <row r="2839">
      <c r="A2839" s="4" t="s">
        <v>5676</v>
      </c>
      <c r="B2839" s="4" t="s">
        <v>5677</v>
      </c>
    </row>
    <row r="2840">
      <c r="A2840" s="4" t="s">
        <v>5678</v>
      </c>
      <c r="B2840" s="4" t="s">
        <v>5679</v>
      </c>
    </row>
    <row r="2841">
      <c r="A2841" s="4" t="s">
        <v>5680</v>
      </c>
      <c r="B2841" s="4" t="s">
        <v>5681</v>
      </c>
    </row>
    <row r="2842">
      <c r="A2842" s="4" t="s">
        <v>5682</v>
      </c>
      <c r="B2842" s="4" t="s">
        <v>5683</v>
      </c>
    </row>
    <row r="2843">
      <c r="A2843" s="4" t="s">
        <v>5684</v>
      </c>
      <c r="B2843" s="4" t="s">
        <v>5685</v>
      </c>
    </row>
    <row r="2844">
      <c r="A2844" s="4" t="s">
        <v>5686</v>
      </c>
      <c r="B2844" s="4" t="s">
        <v>5687</v>
      </c>
    </row>
    <row r="2845">
      <c r="A2845" s="4" t="s">
        <v>5688</v>
      </c>
      <c r="B2845" s="4" t="s">
        <v>5689</v>
      </c>
    </row>
    <row r="2846">
      <c r="A2846" s="4" t="s">
        <v>5690</v>
      </c>
      <c r="B2846" s="4" t="s">
        <v>5691</v>
      </c>
    </row>
    <row r="2847">
      <c r="A2847" s="4" t="s">
        <v>5692</v>
      </c>
      <c r="B2847" s="4" t="s">
        <v>5693</v>
      </c>
    </row>
    <row r="2848">
      <c r="A2848" s="4" t="s">
        <v>5694</v>
      </c>
      <c r="B2848" s="4" t="s">
        <v>5695</v>
      </c>
    </row>
    <row r="2849">
      <c r="A2849" s="4" t="s">
        <v>5696</v>
      </c>
      <c r="B2849" s="4" t="s">
        <v>5697</v>
      </c>
    </row>
    <row r="2850">
      <c r="A2850" s="4" t="s">
        <v>5698</v>
      </c>
      <c r="B2850" s="4" t="s">
        <v>5699</v>
      </c>
    </row>
    <row r="2851">
      <c r="A2851" s="4" t="s">
        <v>5700</v>
      </c>
      <c r="B2851" s="4" t="s">
        <v>5701</v>
      </c>
    </row>
    <row r="2852">
      <c r="A2852" s="4" t="s">
        <v>5702</v>
      </c>
      <c r="B2852" s="4" t="s">
        <v>5703</v>
      </c>
    </row>
    <row r="2853">
      <c r="A2853" s="4" t="s">
        <v>5704</v>
      </c>
      <c r="B2853" s="4" t="s">
        <v>5705</v>
      </c>
    </row>
    <row r="2854">
      <c r="A2854" s="4" t="s">
        <v>5706</v>
      </c>
      <c r="B2854" s="4" t="s">
        <v>5707</v>
      </c>
    </row>
    <row r="2855">
      <c r="A2855" s="4" t="s">
        <v>5708</v>
      </c>
      <c r="B2855" s="4" t="s">
        <v>5709</v>
      </c>
    </row>
    <row r="2856">
      <c r="A2856" s="4" t="s">
        <v>5710</v>
      </c>
      <c r="B2856" s="4" t="s">
        <v>5711</v>
      </c>
    </row>
    <row r="2857">
      <c r="A2857" s="4" t="s">
        <v>5712</v>
      </c>
      <c r="B2857" s="4" t="s">
        <v>5713</v>
      </c>
    </row>
    <row r="2858">
      <c r="A2858" s="4" t="s">
        <v>5714</v>
      </c>
      <c r="B2858" s="4" t="s">
        <v>5715</v>
      </c>
    </row>
    <row r="2859">
      <c r="A2859" s="4" t="s">
        <v>5716</v>
      </c>
      <c r="B2859" s="4" t="s">
        <v>5717</v>
      </c>
    </row>
    <row r="2860">
      <c r="A2860" s="4" t="s">
        <v>5718</v>
      </c>
      <c r="B2860" s="4" t="s">
        <v>5719</v>
      </c>
    </row>
    <row r="2861">
      <c r="A2861" s="4" t="s">
        <v>5720</v>
      </c>
      <c r="B2861" s="4" t="s">
        <v>5721</v>
      </c>
    </row>
    <row r="2862">
      <c r="A2862" s="4" t="s">
        <v>5722</v>
      </c>
      <c r="B2862" s="4" t="s">
        <v>5723</v>
      </c>
    </row>
    <row r="2863">
      <c r="A2863" s="4" t="s">
        <v>5724</v>
      </c>
      <c r="B2863" s="4" t="s">
        <v>5725</v>
      </c>
    </row>
    <row r="2864">
      <c r="A2864" s="4" t="s">
        <v>5726</v>
      </c>
      <c r="B2864" s="4" t="s">
        <v>5727</v>
      </c>
    </row>
    <row r="2865">
      <c r="A2865" s="4" t="s">
        <v>5728</v>
      </c>
      <c r="B2865" s="4" t="s">
        <v>5729</v>
      </c>
    </row>
    <row r="2866">
      <c r="A2866" s="4" t="s">
        <v>5730</v>
      </c>
      <c r="B2866" s="4" t="s">
        <v>5731</v>
      </c>
    </row>
    <row r="2867">
      <c r="A2867" s="4" t="s">
        <v>5732</v>
      </c>
      <c r="B2867" s="4" t="s">
        <v>5733</v>
      </c>
    </row>
    <row r="2868">
      <c r="A2868" s="4" t="s">
        <v>5734</v>
      </c>
      <c r="B2868" s="4" t="s">
        <v>5735</v>
      </c>
    </row>
    <row r="2869">
      <c r="A2869" s="4" t="s">
        <v>5736</v>
      </c>
      <c r="B2869" s="4" t="s">
        <v>5737</v>
      </c>
    </row>
    <row r="2870">
      <c r="A2870" s="4" t="s">
        <v>5738</v>
      </c>
      <c r="B2870" s="4" t="s">
        <v>5739</v>
      </c>
    </row>
    <row r="2871">
      <c r="A2871" s="4" t="s">
        <v>5740</v>
      </c>
      <c r="B2871" s="4" t="s">
        <v>5741</v>
      </c>
    </row>
    <row r="2872">
      <c r="A2872" s="4" t="s">
        <v>5742</v>
      </c>
      <c r="B2872" s="4" t="s">
        <v>5743</v>
      </c>
    </row>
    <row r="2873">
      <c r="A2873" s="4" t="s">
        <v>5744</v>
      </c>
      <c r="B2873" s="4" t="s">
        <v>5745</v>
      </c>
    </row>
    <row r="2874">
      <c r="A2874" s="4" t="s">
        <v>5746</v>
      </c>
      <c r="B2874" s="4" t="s">
        <v>5747</v>
      </c>
    </row>
    <row r="2875">
      <c r="A2875" s="4" t="s">
        <v>5748</v>
      </c>
      <c r="B2875" s="4" t="s">
        <v>5749</v>
      </c>
    </row>
    <row r="2876">
      <c r="A2876" s="4" t="s">
        <v>5750</v>
      </c>
      <c r="B2876" s="4" t="s">
        <v>5751</v>
      </c>
    </row>
    <row r="2877">
      <c r="A2877" s="4" t="s">
        <v>5752</v>
      </c>
      <c r="B2877" s="4" t="s">
        <v>5753</v>
      </c>
    </row>
    <row r="2878">
      <c r="A2878" s="4" t="s">
        <v>5754</v>
      </c>
      <c r="B2878" s="4" t="s">
        <v>5755</v>
      </c>
    </row>
    <row r="2879">
      <c r="A2879" s="4" t="s">
        <v>5756</v>
      </c>
      <c r="B2879" s="4" t="s">
        <v>5757</v>
      </c>
    </row>
    <row r="2880">
      <c r="A2880" s="4" t="s">
        <v>5758</v>
      </c>
      <c r="B2880" s="4" t="s">
        <v>5759</v>
      </c>
    </row>
    <row r="2881">
      <c r="A2881" s="4" t="s">
        <v>5760</v>
      </c>
      <c r="B2881" s="4" t="s">
        <v>5761</v>
      </c>
    </row>
    <row r="2882">
      <c r="A2882" s="4" t="s">
        <v>5762</v>
      </c>
      <c r="B2882" s="4" t="s">
        <v>5763</v>
      </c>
    </row>
    <row r="2883">
      <c r="A2883" s="4" t="s">
        <v>5764</v>
      </c>
      <c r="B2883" s="4" t="s">
        <v>5765</v>
      </c>
    </row>
    <row r="2884">
      <c r="A2884" s="4" t="s">
        <v>5766</v>
      </c>
      <c r="B2884" s="4" t="s">
        <v>5767</v>
      </c>
    </row>
    <row r="2885">
      <c r="A2885" s="4" t="s">
        <v>5768</v>
      </c>
      <c r="B2885" s="4" t="s">
        <v>5769</v>
      </c>
    </row>
    <row r="2886">
      <c r="A2886" s="4" t="s">
        <v>5770</v>
      </c>
      <c r="B2886" s="4" t="s">
        <v>5771</v>
      </c>
    </row>
    <row r="2887">
      <c r="A2887" s="4" t="s">
        <v>5772</v>
      </c>
      <c r="B2887" s="4" t="s">
        <v>5773</v>
      </c>
    </row>
    <row r="2888">
      <c r="A2888" s="4" t="s">
        <v>5774</v>
      </c>
      <c r="B2888" s="4" t="s">
        <v>5775</v>
      </c>
    </row>
    <row r="2889">
      <c r="A2889" s="4" t="s">
        <v>5776</v>
      </c>
      <c r="B2889" s="4" t="s">
        <v>5777</v>
      </c>
    </row>
    <row r="2890">
      <c r="A2890" s="4" t="s">
        <v>5778</v>
      </c>
      <c r="B2890" s="4" t="s">
        <v>5779</v>
      </c>
    </row>
    <row r="2891">
      <c r="A2891" s="4" t="s">
        <v>5780</v>
      </c>
      <c r="B2891" s="4" t="s">
        <v>5781</v>
      </c>
    </row>
    <row r="2892">
      <c r="A2892" s="4" t="s">
        <v>5782</v>
      </c>
      <c r="B2892" s="4" t="s">
        <v>5783</v>
      </c>
    </row>
    <row r="2893">
      <c r="A2893" s="4" t="s">
        <v>5784</v>
      </c>
      <c r="B2893" s="4" t="s">
        <v>5785</v>
      </c>
    </row>
    <row r="2894">
      <c r="A2894" s="4" t="s">
        <v>5786</v>
      </c>
      <c r="B2894" s="4" t="s">
        <v>5787</v>
      </c>
    </row>
    <row r="2895">
      <c r="A2895" s="4" t="s">
        <v>5788</v>
      </c>
      <c r="B2895" s="4" t="s">
        <v>5789</v>
      </c>
    </row>
    <row r="2896">
      <c r="A2896" s="4" t="s">
        <v>5790</v>
      </c>
      <c r="B2896" s="4" t="s">
        <v>5791</v>
      </c>
    </row>
    <row r="2897">
      <c r="A2897" s="4" t="s">
        <v>5792</v>
      </c>
      <c r="B2897" s="4" t="s">
        <v>5793</v>
      </c>
    </row>
    <row r="2898">
      <c r="A2898" s="4" t="s">
        <v>5794</v>
      </c>
      <c r="B2898" s="4" t="s">
        <v>5795</v>
      </c>
    </row>
    <row r="2899">
      <c r="A2899" s="4" t="s">
        <v>5796</v>
      </c>
      <c r="B2899" s="4" t="s">
        <v>5797</v>
      </c>
    </row>
    <row r="2900">
      <c r="A2900" s="4" t="s">
        <v>5798</v>
      </c>
      <c r="B2900" s="4" t="s">
        <v>5799</v>
      </c>
    </row>
    <row r="2901">
      <c r="A2901" s="4" t="s">
        <v>5800</v>
      </c>
      <c r="B2901" s="4" t="s">
        <v>5801</v>
      </c>
    </row>
    <row r="2902">
      <c r="A2902" s="4" t="s">
        <v>5802</v>
      </c>
      <c r="B2902" s="4" t="s">
        <v>5803</v>
      </c>
    </row>
    <row r="2903">
      <c r="A2903" s="4" t="s">
        <v>5804</v>
      </c>
      <c r="B2903" s="4" t="s">
        <v>5805</v>
      </c>
    </row>
    <row r="2904">
      <c r="A2904" s="4" t="s">
        <v>5806</v>
      </c>
      <c r="B2904" s="4" t="s">
        <v>5807</v>
      </c>
    </row>
    <row r="2905">
      <c r="A2905" s="4" t="s">
        <v>5808</v>
      </c>
      <c r="B2905" s="4" t="s">
        <v>5809</v>
      </c>
    </row>
    <row r="2906">
      <c r="A2906" s="4" t="s">
        <v>5810</v>
      </c>
      <c r="B2906" s="4" t="s">
        <v>5811</v>
      </c>
    </row>
    <row r="2907">
      <c r="A2907" s="4" t="s">
        <v>5812</v>
      </c>
      <c r="B2907" s="4" t="s">
        <v>5813</v>
      </c>
    </row>
    <row r="2908">
      <c r="A2908" s="4" t="s">
        <v>5814</v>
      </c>
      <c r="B2908" s="4" t="s">
        <v>5815</v>
      </c>
    </row>
    <row r="2909">
      <c r="A2909" s="4" t="s">
        <v>5816</v>
      </c>
      <c r="B2909" s="4" t="s">
        <v>5817</v>
      </c>
    </row>
    <row r="2910">
      <c r="A2910" s="4" t="s">
        <v>5818</v>
      </c>
      <c r="B2910" s="4" t="s">
        <v>5819</v>
      </c>
    </row>
    <row r="2911">
      <c r="A2911" s="4" t="s">
        <v>5820</v>
      </c>
      <c r="B2911" s="4" t="s">
        <v>5821</v>
      </c>
    </row>
    <row r="2912">
      <c r="A2912" s="4" t="s">
        <v>5822</v>
      </c>
      <c r="B2912" s="4" t="s">
        <v>5823</v>
      </c>
    </row>
    <row r="2913">
      <c r="A2913" s="4" t="s">
        <v>5824</v>
      </c>
      <c r="B2913" s="4" t="s">
        <v>5825</v>
      </c>
    </row>
    <row r="2914">
      <c r="A2914" s="4" t="s">
        <v>5826</v>
      </c>
      <c r="B2914" s="4" t="s">
        <v>5827</v>
      </c>
    </row>
    <row r="2915">
      <c r="A2915" s="4" t="s">
        <v>5828</v>
      </c>
      <c r="B2915" s="4" t="s">
        <v>5829</v>
      </c>
    </row>
    <row r="2916">
      <c r="A2916" s="4" t="s">
        <v>5830</v>
      </c>
      <c r="B2916" s="4" t="s">
        <v>5831</v>
      </c>
    </row>
    <row r="2917">
      <c r="A2917" s="4" t="s">
        <v>5832</v>
      </c>
      <c r="B2917" s="4" t="s">
        <v>5833</v>
      </c>
    </row>
    <row r="2918">
      <c r="A2918" s="4" t="s">
        <v>5834</v>
      </c>
      <c r="B2918" s="4" t="s">
        <v>5835</v>
      </c>
    </row>
    <row r="2919">
      <c r="A2919" s="4" t="s">
        <v>5836</v>
      </c>
      <c r="B2919" s="4" t="s">
        <v>5837</v>
      </c>
    </row>
    <row r="2920">
      <c r="A2920" s="4" t="s">
        <v>5838</v>
      </c>
      <c r="B2920" s="4" t="s">
        <v>5839</v>
      </c>
    </row>
    <row r="2921">
      <c r="A2921" s="4" t="s">
        <v>5840</v>
      </c>
      <c r="B2921" s="4" t="s">
        <v>5841</v>
      </c>
    </row>
    <row r="2922">
      <c r="A2922" s="4" t="s">
        <v>5842</v>
      </c>
      <c r="B2922" s="4" t="s">
        <v>5843</v>
      </c>
    </row>
    <row r="2923">
      <c r="A2923" s="4" t="s">
        <v>5844</v>
      </c>
      <c r="B2923" s="4" t="s">
        <v>5845</v>
      </c>
    </row>
    <row r="2924">
      <c r="A2924" s="4" t="s">
        <v>5846</v>
      </c>
      <c r="B2924" s="4" t="s">
        <v>5847</v>
      </c>
    </row>
    <row r="2925">
      <c r="A2925" s="4" t="s">
        <v>5848</v>
      </c>
      <c r="B2925" s="4" t="s">
        <v>5849</v>
      </c>
    </row>
    <row r="2926">
      <c r="A2926" s="4" t="s">
        <v>5850</v>
      </c>
      <c r="B2926" s="4" t="s">
        <v>5851</v>
      </c>
    </row>
    <row r="2927">
      <c r="A2927" s="4" t="s">
        <v>5852</v>
      </c>
      <c r="B2927" s="4" t="s">
        <v>5853</v>
      </c>
    </row>
    <row r="2928">
      <c r="A2928" s="4" t="s">
        <v>5854</v>
      </c>
      <c r="B2928" s="4" t="s">
        <v>5855</v>
      </c>
    </row>
    <row r="2929">
      <c r="A2929" s="4" t="s">
        <v>5856</v>
      </c>
      <c r="B2929" s="4" t="s">
        <v>5857</v>
      </c>
    </row>
    <row r="2930">
      <c r="A2930" s="4" t="s">
        <v>5858</v>
      </c>
      <c r="B2930" s="4" t="s">
        <v>5859</v>
      </c>
    </row>
    <row r="2931">
      <c r="A2931" s="4" t="s">
        <v>5860</v>
      </c>
      <c r="B2931" s="4" t="s">
        <v>5861</v>
      </c>
    </row>
    <row r="2932">
      <c r="A2932" s="4" t="s">
        <v>5862</v>
      </c>
      <c r="B2932" s="4" t="s">
        <v>5863</v>
      </c>
    </row>
    <row r="2933">
      <c r="A2933" s="4" t="s">
        <v>5864</v>
      </c>
      <c r="B2933" s="4" t="s">
        <v>5865</v>
      </c>
    </row>
    <row r="2934">
      <c r="A2934" s="4" t="s">
        <v>5866</v>
      </c>
      <c r="B2934" s="4" t="s">
        <v>5867</v>
      </c>
    </row>
    <row r="2935">
      <c r="A2935" s="4" t="s">
        <v>5868</v>
      </c>
      <c r="B2935" s="4" t="s">
        <v>5869</v>
      </c>
    </row>
    <row r="2936">
      <c r="A2936" s="4" t="s">
        <v>5870</v>
      </c>
      <c r="B2936" s="4" t="s">
        <v>5871</v>
      </c>
    </row>
    <row r="2937">
      <c r="A2937" s="4" t="s">
        <v>5872</v>
      </c>
      <c r="B2937" s="4" t="s">
        <v>5873</v>
      </c>
    </row>
    <row r="2938">
      <c r="A2938" s="4" t="s">
        <v>5874</v>
      </c>
      <c r="B2938" s="4" t="s">
        <v>5875</v>
      </c>
    </row>
    <row r="2939">
      <c r="A2939" s="4" t="s">
        <v>5876</v>
      </c>
      <c r="B2939" s="4" t="s">
        <v>5877</v>
      </c>
    </row>
    <row r="2940">
      <c r="A2940" s="4" t="s">
        <v>5878</v>
      </c>
      <c r="B2940" s="4" t="s">
        <v>5879</v>
      </c>
    </row>
    <row r="2941">
      <c r="A2941" s="4" t="s">
        <v>5880</v>
      </c>
      <c r="B2941" s="4" t="s">
        <v>5881</v>
      </c>
    </row>
    <row r="2942">
      <c r="A2942" s="4" t="s">
        <v>5882</v>
      </c>
      <c r="B2942" s="4" t="s">
        <v>5883</v>
      </c>
    </row>
    <row r="2943">
      <c r="A2943" s="4" t="s">
        <v>5884</v>
      </c>
      <c r="B2943" s="4" t="s">
        <v>5885</v>
      </c>
    </row>
    <row r="2944">
      <c r="A2944" s="4" t="s">
        <v>5886</v>
      </c>
      <c r="B2944" s="4" t="s">
        <v>5887</v>
      </c>
    </row>
    <row r="2945">
      <c r="A2945" s="4" t="s">
        <v>5888</v>
      </c>
      <c r="B2945" s="4" t="s">
        <v>5889</v>
      </c>
    </row>
    <row r="2946">
      <c r="A2946" s="4" t="s">
        <v>5890</v>
      </c>
      <c r="B2946" s="4" t="s">
        <v>5891</v>
      </c>
    </row>
    <row r="2947">
      <c r="A2947" s="4" t="s">
        <v>5892</v>
      </c>
      <c r="B2947" s="4" t="s">
        <v>5893</v>
      </c>
    </row>
    <row r="2948">
      <c r="A2948" s="4" t="s">
        <v>5894</v>
      </c>
      <c r="B2948" s="4" t="s">
        <v>5895</v>
      </c>
    </row>
    <row r="2949">
      <c r="A2949" s="4" t="s">
        <v>5896</v>
      </c>
      <c r="B2949" s="4" t="s">
        <v>5897</v>
      </c>
    </row>
    <row r="2950">
      <c r="A2950" s="4" t="s">
        <v>5898</v>
      </c>
      <c r="B2950" s="4" t="s">
        <v>5899</v>
      </c>
    </row>
    <row r="2951">
      <c r="A2951" s="4" t="s">
        <v>5900</v>
      </c>
      <c r="B2951" s="4" t="s">
        <v>5901</v>
      </c>
    </row>
    <row r="2952">
      <c r="A2952" s="4" t="s">
        <v>5902</v>
      </c>
      <c r="B2952" s="4" t="s">
        <v>5903</v>
      </c>
    </row>
    <row r="2953">
      <c r="A2953" s="4" t="s">
        <v>5904</v>
      </c>
      <c r="B2953" s="4" t="s">
        <v>5905</v>
      </c>
    </row>
    <row r="2954">
      <c r="A2954" s="4" t="s">
        <v>5906</v>
      </c>
      <c r="B2954" s="4" t="s">
        <v>5907</v>
      </c>
    </row>
    <row r="2955">
      <c r="A2955" s="4" t="s">
        <v>5908</v>
      </c>
      <c r="B2955" s="4" t="s">
        <v>5909</v>
      </c>
    </row>
    <row r="2956">
      <c r="A2956" s="4" t="s">
        <v>5910</v>
      </c>
      <c r="B2956" s="4" t="s">
        <v>5911</v>
      </c>
    </row>
    <row r="2957">
      <c r="A2957" s="4" t="s">
        <v>5912</v>
      </c>
      <c r="B2957" s="4" t="s">
        <v>5913</v>
      </c>
    </row>
    <row r="2958">
      <c r="A2958" s="4" t="s">
        <v>5914</v>
      </c>
      <c r="B2958" s="4" t="s">
        <v>5915</v>
      </c>
    </row>
    <row r="2959">
      <c r="A2959" s="4" t="s">
        <v>5916</v>
      </c>
      <c r="B2959" s="4" t="s">
        <v>5917</v>
      </c>
    </row>
    <row r="2960">
      <c r="A2960" s="4" t="s">
        <v>5918</v>
      </c>
      <c r="B2960" s="4" t="s">
        <v>5919</v>
      </c>
    </row>
    <row r="2961">
      <c r="A2961" s="4" t="s">
        <v>5920</v>
      </c>
      <c r="B2961" s="4" t="s">
        <v>5921</v>
      </c>
    </row>
    <row r="2962">
      <c r="A2962" s="4" t="s">
        <v>5922</v>
      </c>
      <c r="B2962" s="4" t="s">
        <v>5923</v>
      </c>
    </row>
    <row r="2963">
      <c r="A2963" s="4" t="s">
        <v>5924</v>
      </c>
      <c r="B2963" s="4" t="s">
        <v>5925</v>
      </c>
    </row>
    <row r="2964">
      <c r="A2964" s="4" t="s">
        <v>5926</v>
      </c>
      <c r="B2964" s="4" t="s">
        <v>5927</v>
      </c>
    </row>
    <row r="2965">
      <c r="A2965" s="4" t="s">
        <v>5928</v>
      </c>
      <c r="B2965" s="4" t="s">
        <v>5929</v>
      </c>
    </row>
    <row r="2966">
      <c r="A2966" s="4" t="s">
        <v>5930</v>
      </c>
      <c r="B2966" s="4" t="s">
        <v>5931</v>
      </c>
    </row>
    <row r="2967">
      <c r="A2967" s="4" t="s">
        <v>5932</v>
      </c>
      <c r="B2967" s="4" t="s">
        <v>5933</v>
      </c>
    </row>
    <row r="2968">
      <c r="A2968" s="4" t="s">
        <v>5934</v>
      </c>
      <c r="B2968" s="4" t="s">
        <v>5935</v>
      </c>
    </row>
    <row r="2969">
      <c r="A2969" s="4" t="s">
        <v>5936</v>
      </c>
      <c r="B2969" s="4" t="s">
        <v>5937</v>
      </c>
    </row>
    <row r="2970">
      <c r="A2970" s="4" t="s">
        <v>5938</v>
      </c>
      <c r="B2970" s="4" t="s">
        <v>5939</v>
      </c>
    </row>
    <row r="2971">
      <c r="A2971" s="4" t="s">
        <v>5940</v>
      </c>
      <c r="B2971" s="4" t="s">
        <v>5941</v>
      </c>
    </row>
    <row r="2972">
      <c r="A2972" s="4" t="s">
        <v>5942</v>
      </c>
      <c r="B2972" s="4" t="s">
        <v>5943</v>
      </c>
    </row>
    <row r="2973">
      <c r="A2973" s="4" t="s">
        <v>5944</v>
      </c>
      <c r="B2973" s="4" t="s">
        <v>5945</v>
      </c>
    </row>
    <row r="2974">
      <c r="A2974" s="4" t="s">
        <v>5946</v>
      </c>
      <c r="B2974" s="4" t="s">
        <v>5947</v>
      </c>
    </row>
    <row r="2975">
      <c r="A2975" s="4" t="s">
        <v>5948</v>
      </c>
      <c r="B2975" s="4" t="s">
        <v>5949</v>
      </c>
    </row>
    <row r="2976">
      <c r="A2976" s="4" t="s">
        <v>5950</v>
      </c>
      <c r="B2976" s="4" t="s">
        <v>5951</v>
      </c>
    </row>
    <row r="2977">
      <c r="A2977" s="4" t="s">
        <v>5952</v>
      </c>
      <c r="B2977" s="4" t="s">
        <v>5953</v>
      </c>
    </row>
    <row r="2978">
      <c r="A2978" s="4" t="s">
        <v>5954</v>
      </c>
      <c r="B2978" s="4" t="s">
        <v>5955</v>
      </c>
    </row>
    <row r="2979">
      <c r="A2979" s="4" t="s">
        <v>5956</v>
      </c>
      <c r="B2979" s="4" t="s">
        <v>5957</v>
      </c>
    </row>
    <row r="2980">
      <c r="A2980" s="4" t="s">
        <v>5958</v>
      </c>
      <c r="B2980" s="4" t="s">
        <v>5959</v>
      </c>
    </row>
    <row r="2981">
      <c r="A2981" s="4" t="s">
        <v>5960</v>
      </c>
      <c r="B2981" s="4" t="s">
        <v>5961</v>
      </c>
    </row>
    <row r="2982">
      <c r="A2982" s="4" t="s">
        <v>5962</v>
      </c>
      <c r="B2982" s="4" t="s">
        <v>5963</v>
      </c>
    </row>
    <row r="2983">
      <c r="A2983" s="4" t="s">
        <v>5964</v>
      </c>
      <c r="B2983" s="4" t="s">
        <v>5965</v>
      </c>
    </row>
    <row r="2984">
      <c r="A2984" s="4" t="s">
        <v>5966</v>
      </c>
      <c r="B2984" s="4" t="s">
        <v>5967</v>
      </c>
    </row>
    <row r="2985">
      <c r="A2985" s="4" t="s">
        <v>5968</v>
      </c>
      <c r="B2985" s="4" t="s">
        <v>5969</v>
      </c>
    </row>
    <row r="2986">
      <c r="A2986" s="4" t="s">
        <v>5970</v>
      </c>
      <c r="B2986" s="4" t="s">
        <v>5971</v>
      </c>
    </row>
    <row r="2987">
      <c r="A2987" s="4" t="s">
        <v>5972</v>
      </c>
      <c r="B2987" s="4" t="s">
        <v>5973</v>
      </c>
    </row>
    <row r="2988">
      <c r="A2988" s="4" t="s">
        <v>5974</v>
      </c>
      <c r="B2988" s="4" t="s">
        <v>5975</v>
      </c>
    </row>
    <row r="2989">
      <c r="A2989" s="4" t="s">
        <v>5976</v>
      </c>
      <c r="B2989" s="4" t="s">
        <v>5977</v>
      </c>
    </row>
    <row r="2990">
      <c r="A2990" s="4" t="s">
        <v>5978</v>
      </c>
      <c r="B2990" s="4" t="s">
        <v>5979</v>
      </c>
    </row>
    <row r="2991">
      <c r="A2991" s="4" t="s">
        <v>5980</v>
      </c>
      <c r="B2991" s="4" t="s">
        <v>5981</v>
      </c>
    </row>
    <row r="2992">
      <c r="A2992" s="4" t="s">
        <v>5982</v>
      </c>
      <c r="B2992" s="4" t="s">
        <v>5983</v>
      </c>
    </row>
    <row r="2993">
      <c r="A2993" s="4" t="s">
        <v>5984</v>
      </c>
      <c r="B2993" s="4" t="s">
        <v>5985</v>
      </c>
    </row>
    <row r="2994">
      <c r="A2994" s="4" t="s">
        <v>5986</v>
      </c>
      <c r="B2994" s="4" t="s">
        <v>5987</v>
      </c>
    </row>
    <row r="2995">
      <c r="A2995" s="4" t="s">
        <v>5988</v>
      </c>
      <c r="B2995" s="4" t="s">
        <v>5989</v>
      </c>
    </row>
    <row r="2996">
      <c r="A2996" s="4" t="s">
        <v>5990</v>
      </c>
      <c r="B2996" s="4" t="s">
        <v>5991</v>
      </c>
    </row>
    <row r="2997">
      <c r="A2997" s="4" t="s">
        <v>5992</v>
      </c>
      <c r="B2997" s="4" t="s">
        <v>5993</v>
      </c>
    </row>
    <row r="2998">
      <c r="A2998" s="4" t="s">
        <v>5994</v>
      </c>
      <c r="B2998" s="4" t="s">
        <v>5995</v>
      </c>
    </row>
    <row r="2999">
      <c r="A2999" s="4" t="s">
        <v>5996</v>
      </c>
      <c r="B2999" s="4" t="s">
        <v>5997</v>
      </c>
    </row>
    <row r="3000">
      <c r="A3000" s="4" t="s">
        <v>5998</v>
      </c>
      <c r="B3000" s="4" t="s">
        <v>5999</v>
      </c>
    </row>
    <row r="3001">
      <c r="A3001" s="4" t="s">
        <v>6000</v>
      </c>
      <c r="B3001" s="4" t="s">
        <v>6001</v>
      </c>
    </row>
    <row r="3002">
      <c r="A3002" s="4" t="s">
        <v>6002</v>
      </c>
      <c r="B3002" s="4" t="s">
        <v>6003</v>
      </c>
    </row>
    <row r="3003">
      <c r="A3003" s="4" t="s">
        <v>6004</v>
      </c>
      <c r="B3003" s="4" t="s">
        <v>6005</v>
      </c>
    </row>
    <row r="3004">
      <c r="A3004" s="4" t="s">
        <v>6006</v>
      </c>
      <c r="B3004" s="4" t="s">
        <v>6007</v>
      </c>
    </row>
    <row r="3005">
      <c r="A3005" s="4" t="s">
        <v>6008</v>
      </c>
      <c r="B3005" s="4" t="s">
        <v>6009</v>
      </c>
    </row>
    <row r="3006">
      <c r="A3006" s="4" t="s">
        <v>6010</v>
      </c>
      <c r="B3006" s="4" t="s">
        <v>6011</v>
      </c>
    </row>
    <row r="3007">
      <c r="A3007" s="4" t="s">
        <v>6012</v>
      </c>
      <c r="B3007" s="4" t="s">
        <v>6013</v>
      </c>
    </row>
    <row r="3008">
      <c r="A3008" s="4" t="s">
        <v>6014</v>
      </c>
      <c r="B3008" s="4" t="s">
        <v>6015</v>
      </c>
    </row>
    <row r="3009">
      <c r="A3009" s="4" t="s">
        <v>6016</v>
      </c>
      <c r="B3009" s="4" t="s">
        <v>6017</v>
      </c>
    </row>
    <row r="3010">
      <c r="A3010" s="4" t="s">
        <v>6018</v>
      </c>
      <c r="B3010" s="4" t="s">
        <v>6019</v>
      </c>
    </row>
    <row r="3011">
      <c r="A3011" s="4" t="s">
        <v>6020</v>
      </c>
      <c r="B3011" s="4" t="s">
        <v>6021</v>
      </c>
    </row>
    <row r="3012">
      <c r="A3012" s="4" t="s">
        <v>6022</v>
      </c>
      <c r="B3012" s="4" t="s">
        <v>6023</v>
      </c>
    </row>
    <row r="3013">
      <c r="A3013" s="4" t="s">
        <v>6024</v>
      </c>
      <c r="B3013" s="4" t="s">
        <v>6025</v>
      </c>
    </row>
    <row r="3014">
      <c r="A3014" s="4" t="s">
        <v>6026</v>
      </c>
      <c r="B3014" s="4" t="s">
        <v>6027</v>
      </c>
    </row>
    <row r="3015">
      <c r="A3015" s="4" t="s">
        <v>6028</v>
      </c>
      <c r="B3015" s="4" t="s">
        <v>6029</v>
      </c>
    </row>
    <row r="3016">
      <c r="A3016" s="4" t="s">
        <v>6030</v>
      </c>
      <c r="B3016" s="4" t="s">
        <v>6031</v>
      </c>
    </row>
    <row r="3017">
      <c r="A3017" s="4" t="s">
        <v>6032</v>
      </c>
      <c r="B3017" s="4" t="s">
        <v>6033</v>
      </c>
    </row>
    <row r="3018">
      <c r="A3018" s="4" t="s">
        <v>6034</v>
      </c>
      <c r="B3018" s="4" t="s">
        <v>6035</v>
      </c>
    </row>
    <row r="3019">
      <c r="A3019" s="4" t="s">
        <v>6036</v>
      </c>
      <c r="B3019" s="4" t="s">
        <v>6037</v>
      </c>
    </row>
    <row r="3020">
      <c r="A3020" s="4" t="s">
        <v>6038</v>
      </c>
      <c r="B3020" s="4" t="s">
        <v>6039</v>
      </c>
    </row>
    <row r="3021">
      <c r="A3021" s="4" t="s">
        <v>6040</v>
      </c>
      <c r="B3021" s="4" t="s">
        <v>6041</v>
      </c>
    </row>
    <row r="3022">
      <c r="A3022" s="4" t="s">
        <v>6042</v>
      </c>
      <c r="B3022" s="4" t="s">
        <v>6043</v>
      </c>
    </row>
    <row r="3023">
      <c r="A3023" s="4" t="s">
        <v>6044</v>
      </c>
      <c r="B3023" s="4" t="s">
        <v>6045</v>
      </c>
    </row>
    <row r="3024">
      <c r="A3024" s="4" t="s">
        <v>6046</v>
      </c>
      <c r="B3024" s="4" t="s">
        <v>6047</v>
      </c>
    </row>
    <row r="3025">
      <c r="A3025" s="4" t="s">
        <v>6048</v>
      </c>
      <c r="B3025" s="4" t="s">
        <v>6049</v>
      </c>
    </row>
    <row r="3026">
      <c r="A3026" s="4" t="s">
        <v>6050</v>
      </c>
      <c r="B3026" s="4" t="s">
        <v>6051</v>
      </c>
    </row>
    <row r="3027">
      <c r="A3027" s="4" t="s">
        <v>6052</v>
      </c>
      <c r="B3027" s="4" t="s">
        <v>6053</v>
      </c>
    </row>
    <row r="3028">
      <c r="A3028" s="4" t="s">
        <v>6054</v>
      </c>
      <c r="B3028" s="4" t="s">
        <v>6055</v>
      </c>
    </row>
    <row r="3029">
      <c r="A3029" s="4" t="s">
        <v>6056</v>
      </c>
      <c r="B3029" s="4" t="s">
        <v>6057</v>
      </c>
    </row>
    <row r="3030">
      <c r="A3030" s="4" t="s">
        <v>6058</v>
      </c>
      <c r="B3030" s="4" t="s">
        <v>6059</v>
      </c>
    </row>
    <row r="3031">
      <c r="A3031" s="4" t="s">
        <v>6060</v>
      </c>
      <c r="B3031" s="4" t="s">
        <v>6061</v>
      </c>
    </row>
    <row r="3032">
      <c r="A3032" s="4" t="s">
        <v>6062</v>
      </c>
      <c r="B3032" s="4" t="s">
        <v>6063</v>
      </c>
    </row>
    <row r="3033">
      <c r="A3033" s="4" t="s">
        <v>6064</v>
      </c>
      <c r="B3033" s="4" t="s">
        <v>6065</v>
      </c>
    </row>
    <row r="3034">
      <c r="A3034" s="4" t="s">
        <v>6066</v>
      </c>
      <c r="B3034" s="4" t="s">
        <v>6067</v>
      </c>
    </row>
    <row r="3035">
      <c r="A3035" s="4" t="s">
        <v>6068</v>
      </c>
      <c r="B3035" s="4" t="s">
        <v>6069</v>
      </c>
    </row>
    <row r="3036">
      <c r="A3036" s="4" t="s">
        <v>6070</v>
      </c>
      <c r="B3036" s="4" t="s">
        <v>6071</v>
      </c>
    </row>
    <row r="3037">
      <c r="A3037" s="4" t="s">
        <v>6072</v>
      </c>
      <c r="B3037" s="4" t="s">
        <v>6073</v>
      </c>
    </row>
    <row r="3038">
      <c r="A3038" s="4" t="s">
        <v>6074</v>
      </c>
      <c r="B3038" s="4" t="s">
        <v>6075</v>
      </c>
    </row>
    <row r="3039">
      <c r="A3039" s="4" t="s">
        <v>6076</v>
      </c>
      <c r="B3039" s="4" t="s">
        <v>6077</v>
      </c>
    </row>
    <row r="3040">
      <c r="A3040" s="4" t="s">
        <v>6078</v>
      </c>
      <c r="B3040" s="4" t="s">
        <v>6079</v>
      </c>
    </row>
    <row r="3041">
      <c r="A3041" s="4" t="s">
        <v>6080</v>
      </c>
      <c r="B3041" s="4" t="s">
        <v>6081</v>
      </c>
    </row>
    <row r="3042">
      <c r="A3042" s="4" t="s">
        <v>6082</v>
      </c>
      <c r="B3042" s="4" t="s">
        <v>6083</v>
      </c>
    </row>
    <row r="3043">
      <c r="A3043" s="4" t="s">
        <v>6084</v>
      </c>
      <c r="B3043" s="4" t="s">
        <v>6085</v>
      </c>
    </row>
    <row r="3044">
      <c r="A3044" s="4" t="s">
        <v>6086</v>
      </c>
      <c r="B3044" s="4" t="s">
        <v>6087</v>
      </c>
    </row>
    <row r="3045">
      <c r="A3045" s="4" t="s">
        <v>6088</v>
      </c>
      <c r="B3045" s="4" t="s">
        <v>6089</v>
      </c>
    </row>
    <row r="3046">
      <c r="A3046" s="4" t="s">
        <v>6090</v>
      </c>
      <c r="B3046" s="4" t="s">
        <v>6091</v>
      </c>
    </row>
    <row r="3047">
      <c r="A3047" s="4" t="s">
        <v>6092</v>
      </c>
      <c r="B3047" s="4" t="s">
        <v>6093</v>
      </c>
    </row>
    <row r="3048">
      <c r="A3048" s="4" t="s">
        <v>6094</v>
      </c>
      <c r="B3048" s="4" t="s">
        <v>6095</v>
      </c>
    </row>
    <row r="3049">
      <c r="A3049" s="4" t="s">
        <v>6096</v>
      </c>
      <c r="B3049" s="4" t="s">
        <v>6097</v>
      </c>
    </row>
    <row r="3050">
      <c r="A3050" s="4" t="s">
        <v>6098</v>
      </c>
      <c r="B3050" s="4" t="s">
        <v>6099</v>
      </c>
    </row>
    <row r="3051">
      <c r="A3051" s="4" t="s">
        <v>6100</v>
      </c>
      <c r="B3051" s="4" t="s">
        <v>6101</v>
      </c>
    </row>
    <row r="3052">
      <c r="A3052" s="4" t="s">
        <v>6102</v>
      </c>
      <c r="B3052" s="4" t="s">
        <v>6103</v>
      </c>
    </row>
    <row r="3053">
      <c r="A3053" s="4" t="s">
        <v>6104</v>
      </c>
      <c r="B3053" s="4" t="s">
        <v>6105</v>
      </c>
    </row>
    <row r="3054">
      <c r="A3054" s="4" t="s">
        <v>6106</v>
      </c>
      <c r="B3054" s="4" t="s">
        <v>6107</v>
      </c>
    </row>
    <row r="3055">
      <c r="A3055" s="4" t="s">
        <v>6108</v>
      </c>
      <c r="B3055" s="4" t="s">
        <v>6109</v>
      </c>
    </row>
    <row r="3056">
      <c r="A3056" s="4" t="s">
        <v>6110</v>
      </c>
      <c r="B3056" s="4" t="s">
        <v>6111</v>
      </c>
    </row>
    <row r="3057">
      <c r="A3057" s="4" t="s">
        <v>6112</v>
      </c>
      <c r="B3057" s="4" t="s">
        <v>6113</v>
      </c>
    </row>
    <row r="3058">
      <c r="A3058" s="4" t="s">
        <v>6114</v>
      </c>
      <c r="B3058" s="4" t="s">
        <v>6115</v>
      </c>
    </row>
    <row r="3059">
      <c r="A3059" s="4" t="s">
        <v>6116</v>
      </c>
      <c r="B3059" s="4" t="s">
        <v>6117</v>
      </c>
    </row>
    <row r="3060">
      <c r="A3060" s="4" t="s">
        <v>6118</v>
      </c>
      <c r="B3060" s="4" t="s">
        <v>6119</v>
      </c>
    </row>
    <row r="3061">
      <c r="A3061" s="4" t="s">
        <v>6120</v>
      </c>
      <c r="B3061" s="4" t="s">
        <v>6121</v>
      </c>
    </row>
    <row r="3062">
      <c r="A3062" s="4" t="s">
        <v>6122</v>
      </c>
      <c r="B3062" s="4" t="s">
        <v>6123</v>
      </c>
    </row>
    <row r="3063">
      <c r="A3063" s="4" t="s">
        <v>6124</v>
      </c>
      <c r="B3063" s="4" t="s">
        <v>6125</v>
      </c>
    </row>
    <row r="3064">
      <c r="A3064" s="4" t="s">
        <v>6126</v>
      </c>
      <c r="B3064" s="4" t="s">
        <v>6127</v>
      </c>
    </row>
    <row r="3065">
      <c r="A3065" s="4" t="s">
        <v>6128</v>
      </c>
      <c r="B3065" s="4" t="s">
        <v>6129</v>
      </c>
    </row>
    <row r="3066">
      <c r="A3066" s="4" t="s">
        <v>6130</v>
      </c>
      <c r="B3066" s="4" t="s">
        <v>6131</v>
      </c>
    </row>
    <row r="3067">
      <c r="A3067" s="4" t="s">
        <v>6132</v>
      </c>
      <c r="B3067" s="4" t="s">
        <v>6133</v>
      </c>
    </row>
    <row r="3068">
      <c r="A3068" s="4" t="s">
        <v>6134</v>
      </c>
      <c r="B3068" s="4" t="s">
        <v>6135</v>
      </c>
    </row>
    <row r="3069">
      <c r="A3069" s="4" t="s">
        <v>6136</v>
      </c>
      <c r="B3069" s="4" t="s">
        <v>6137</v>
      </c>
    </row>
    <row r="3070">
      <c r="A3070" s="4" t="s">
        <v>6138</v>
      </c>
      <c r="B3070" s="4" t="s">
        <v>6139</v>
      </c>
    </row>
    <row r="3071">
      <c r="A3071" s="4" t="s">
        <v>6140</v>
      </c>
      <c r="B3071" s="4" t="s">
        <v>6141</v>
      </c>
    </row>
    <row r="3072">
      <c r="A3072" s="4" t="s">
        <v>6142</v>
      </c>
      <c r="B3072" s="4" t="s">
        <v>6143</v>
      </c>
    </row>
    <row r="3073">
      <c r="A3073" s="4" t="s">
        <v>6144</v>
      </c>
      <c r="B3073" s="4" t="s">
        <v>6145</v>
      </c>
    </row>
    <row r="3074">
      <c r="A3074" s="4" t="s">
        <v>6146</v>
      </c>
      <c r="B3074" s="4" t="s">
        <v>6147</v>
      </c>
    </row>
    <row r="3075">
      <c r="A3075" s="4" t="s">
        <v>6148</v>
      </c>
      <c r="B3075" s="4" t="s">
        <v>6149</v>
      </c>
    </row>
    <row r="3076">
      <c r="A3076" s="4" t="s">
        <v>6150</v>
      </c>
      <c r="B3076" s="4" t="s">
        <v>6151</v>
      </c>
    </row>
    <row r="3077">
      <c r="A3077" s="4" t="s">
        <v>6152</v>
      </c>
      <c r="B3077" s="4" t="s">
        <v>6153</v>
      </c>
    </row>
    <row r="3078">
      <c r="A3078" s="4" t="s">
        <v>6154</v>
      </c>
      <c r="B3078" s="4" t="s">
        <v>6155</v>
      </c>
    </row>
    <row r="3079">
      <c r="A3079" s="4" t="s">
        <v>6156</v>
      </c>
      <c r="B3079" s="4" t="s">
        <v>6157</v>
      </c>
    </row>
    <row r="3080">
      <c r="A3080" s="4" t="s">
        <v>6158</v>
      </c>
      <c r="B3080" s="4" t="s">
        <v>6159</v>
      </c>
    </row>
    <row r="3081">
      <c r="A3081" s="4" t="s">
        <v>6160</v>
      </c>
      <c r="B3081" s="4" t="s">
        <v>6161</v>
      </c>
    </row>
    <row r="3082">
      <c r="A3082" s="4" t="s">
        <v>6162</v>
      </c>
      <c r="B3082" s="4" t="s">
        <v>6163</v>
      </c>
    </row>
    <row r="3083">
      <c r="A3083" s="4" t="s">
        <v>6164</v>
      </c>
      <c r="B3083" s="4" t="s">
        <v>6165</v>
      </c>
    </row>
    <row r="3084">
      <c r="A3084" s="4" t="s">
        <v>6166</v>
      </c>
      <c r="B3084" s="4" t="s">
        <v>6167</v>
      </c>
    </row>
    <row r="3085">
      <c r="A3085" s="4" t="s">
        <v>6168</v>
      </c>
      <c r="B3085" s="4" t="s">
        <v>6169</v>
      </c>
    </row>
    <row r="3086">
      <c r="A3086" s="4" t="s">
        <v>6170</v>
      </c>
      <c r="B3086" s="4" t="s">
        <v>6171</v>
      </c>
    </row>
    <row r="3087">
      <c r="A3087" s="4" t="s">
        <v>6172</v>
      </c>
      <c r="B3087" s="4" t="s">
        <v>6173</v>
      </c>
    </row>
    <row r="3088">
      <c r="A3088" s="4" t="s">
        <v>6174</v>
      </c>
      <c r="B3088" s="4" t="s">
        <v>6175</v>
      </c>
    </row>
    <row r="3089">
      <c r="A3089" s="4" t="s">
        <v>6176</v>
      </c>
      <c r="B3089" s="4" t="s">
        <v>6177</v>
      </c>
    </row>
    <row r="3090">
      <c r="A3090" s="4" t="s">
        <v>6178</v>
      </c>
      <c r="B3090" s="4" t="s">
        <v>6179</v>
      </c>
    </row>
    <row r="3091">
      <c r="A3091" s="4" t="s">
        <v>6180</v>
      </c>
      <c r="B3091" s="4" t="s">
        <v>6181</v>
      </c>
    </row>
    <row r="3092">
      <c r="A3092" s="4" t="s">
        <v>6182</v>
      </c>
      <c r="B3092" s="4" t="s">
        <v>6183</v>
      </c>
    </row>
    <row r="3093">
      <c r="A3093" s="4" t="s">
        <v>6184</v>
      </c>
      <c r="B3093" s="4" t="s">
        <v>6185</v>
      </c>
    </row>
    <row r="3094">
      <c r="A3094" s="4" t="s">
        <v>6186</v>
      </c>
      <c r="B3094" s="4" t="s">
        <v>6187</v>
      </c>
    </row>
    <row r="3095">
      <c r="A3095" s="4" t="s">
        <v>6188</v>
      </c>
      <c r="B3095" s="4" t="s">
        <v>6189</v>
      </c>
    </row>
    <row r="3096">
      <c r="A3096" s="4" t="s">
        <v>6190</v>
      </c>
      <c r="B3096" s="4" t="s">
        <v>6191</v>
      </c>
    </row>
    <row r="3097">
      <c r="A3097" s="4" t="s">
        <v>6192</v>
      </c>
      <c r="B3097" s="4" t="s">
        <v>6193</v>
      </c>
    </row>
    <row r="3098">
      <c r="A3098" s="4" t="s">
        <v>6194</v>
      </c>
      <c r="B3098" s="4" t="s">
        <v>6195</v>
      </c>
    </row>
    <row r="3099">
      <c r="A3099" s="4" t="s">
        <v>6196</v>
      </c>
      <c r="B3099" s="4" t="s">
        <v>6197</v>
      </c>
    </row>
    <row r="3100">
      <c r="A3100" s="4" t="s">
        <v>6198</v>
      </c>
      <c r="B3100" s="4" t="s">
        <v>6199</v>
      </c>
    </row>
    <row r="3101">
      <c r="A3101" s="4" t="s">
        <v>6200</v>
      </c>
      <c r="B3101" s="4" t="s">
        <v>6201</v>
      </c>
    </row>
    <row r="3102">
      <c r="A3102" s="4" t="s">
        <v>6202</v>
      </c>
      <c r="B3102" s="4" t="s">
        <v>6203</v>
      </c>
    </row>
    <row r="3103">
      <c r="A3103" s="4" t="s">
        <v>6204</v>
      </c>
      <c r="B3103" s="4" t="s">
        <v>6205</v>
      </c>
    </row>
    <row r="3104">
      <c r="A3104" s="4" t="s">
        <v>6206</v>
      </c>
      <c r="B3104" s="4" t="s">
        <v>6207</v>
      </c>
    </row>
    <row r="3105">
      <c r="A3105" s="4" t="s">
        <v>6208</v>
      </c>
      <c r="B3105" s="4" t="s">
        <v>6209</v>
      </c>
    </row>
    <row r="3106">
      <c r="A3106" s="4" t="s">
        <v>6210</v>
      </c>
      <c r="B3106" s="4" t="s">
        <v>6211</v>
      </c>
    </row>
    <row r="3107">
      <c r="A3107" s="4" t="s">
        <v>6212</v>
      </c>
      <c r="B3107" s="4" t="s">
        <v>6213</v>
      </c>
    </row>
    <row r="3108">
      <c r="A3108" s="4" t="s">
        <v>6214</v>
      </c>
      <c r="B3108" s="4" t="s">
        <v>6215</v>
      </c>
    </row>
    <row r="3109">
      <c r="A3109" s="4" t="s">
        <v>6216</v>
      </c>
      <c r="B3109" s="4" t="s">
        <v>6217</v>
      </c>
    </row>
    <row r="3110">
      <c r="A3110" s="4" t="s">
        <v>6218</v>
      </c>
      <c r="B3110" s="4" t="s">
        <v>6219</v>
      </c>
    </row>
    <row r="3111">
      <c r="A3111" s="4" t="s">
        <v>6220</v>
      </c>
      <c r="B3111" s="4" t="s">
        <v>6221</v>
      </c>
    </row>
    <row r="3112">
      <c r="A3112" s="4" t="s">
        <v>6222</v>
      </c>
      <c r="B3112" s="4" t="s">
        <v>6223</v>
      </c>
    </row>
    <row r="3113">
      <c r="A3113" s="4" t="s">
        <v>6224</v>
      </c>
      <c r="B3113" s="4" t="s">
        <v>6225</v>
      </c>
    </row>
    <row r="3114">
      <c r="A3114" s="4" t="s">
        <v>6226</v>
      </c>
      <c r="B3114" s="4" t="s">
        <v>6227</v>
      </c>
    </row>
    <row r="3115">
      <c r="A3115" s="4" t="s">
        <v>6228</v>
      </c>
      <c r="B3115" s="4" t="s">
        <v>6229</v>
      </c>
    </row>
    <row r="3116">
      <c r="A3116" s="4" t="s">
        <v>6230</v>
      </c>
      <c r="B3116" s="4" t="s">
        <v>6231</v>
      </c>
    </row>
    <row r="3117">
      <c r="A3117" s="4" t="s">
        <v>6232</v>
      </c>
      <c r="B3117" s="4" t="s">
        <v>6233</v>
      </c>
    </row>
    <row r="3118">
      <c r="A3118" s="4" t="s">
        <v>6234</v>
      </c>
      <c r="B3118" s="4" t="s">
        <v>6235</v>
      </c>
    </row>
    <row r="3119">
      <c r="A3119" s="4" t="s">
        <v>6236</v>
      </c>
      <c r="B3119" s="4" t="s">
        <v>6237</v>
      </c>
    </row>
    <row r="3120">
      <c r="A3120" s="4" t="s">
        <v>6238</v>
      </c>
      <c r="B3120" s="4" t="s">
        <v>6239</v>
      </c>
    </row>
    <row r="3121">
      <c r="A3121" s="4" t="s">
        <v>6240</v>
      </c>
      <c r="B3121" s="4" t="s">
        <v>6241</v>
      </c>
    </row>
    <row r="3122">
      <c r="A3122" s="4" t="s">
        <v>6242</v>
      </c>
      <c r="B3122" s="4" t="s">
        <v>6243</v>
      </c>
    </row>
    <row r="3123">
      <c r="A3123" s="4" t="s">
        <v>6244</v>
      </c>
      <c r="B3123" s="4" t="s">
        <v>6245</v>
      </c>
    </row>
    <row r="3124">
      <c r="A3124" s="4" t="s">
        <v>6246</v>
      </c>
      <c r="B3124" s="4" t="s">
        <v>6247</v>
      </c>
    </row>
    <row r="3125">
      <c r="A3125" s="4" t="s">
        <v>6248</v>
      </c>
      <c r="B3125" s="4" t="s">
        <v>6249</v>
      </c>
    </row>
    <row r="3126">
      <c r="A3126" s="4" t="s">
        <v>6250</v>
      </c>
      <c r="B3126" s="4" t="s">
        <v>6251</v>
      </c>
    </row>
    <row r="3127">
      <c r="A3127" s="4" t="s">
        <v>6252</v>
      </c>
      <c r="B3127" s="4" t="s">
        <v>6253</v>
      </c>
    </row>
    <row r="3128">
      <c r="A3128" s="4" t="s">
        <v>6254</v>
      </c>
      <c r="B3128" s="4" t="s">
        <v>6255</v>
      </c>
    </row>
    <row r="3129">
      <c r="A3129" s="4" t="s">
        <v>6256</v>
      </c>
      <c r="B3129" s="4" t="s">
        <v>6257</v>
      </c>
    </row>
    <row r="3130">
      <c r="A3130" s="4" t="s">
        <v>6258</v>
      </c>
      <c r="B3130" s="4" t="s">
        <v>6259</v>
      </c>
    </row>
    <row r="3131">
      <c r="A3131" s="4" t="s">
        <v>6260</v>
      </c>
      <c r="B3131" s="4" t="s">
        <v>6261</v>
      </c>
    </row>
    <row r="3132">
      <c r="A3132" s="4" t="s">
        <v>6262</v>
      </c>
      <c r="B3132" s="4" t="s">
        <v>6263</v>
      </c>
    </row>
    <row r="3133">
      <c r="A3133" s="4" t="s">
        <v>6264</v>
      </c>
      <c r="B3133" s="4" t="s">
        <v>6265</v>
      </c>
    </row>
    <row r="3134">
      <c r="A3134" s="4" t="s">
        <v>6266</v>
      </c>
      <c r="B3134" s="4" t="s">
        <v>6267</v>
      </c>
    </row>
    <row r="3135">
      <c r="A3135" s="4" t="s">
        <v>6268</v>
      </c>
      <c r="B3135" s="4" t="s">
        <v>6269</v>
      </c>
    </row>
    <row r="3136">
      <c r="A3136" s="4" t="s">
        <v>6270</v>
      </c>
      <c r="B3136" s="4" t="s">
        <v>6271</v>
      </c>
    </row>
    <row r="3137">
      <c r="A3137" s="4" t="s">
        <v>6272</v>
      </c>
      <c r="B3137" s="4" t="s">
        <v>6273</v>
      </c>
    </row>
    <row r="3138">
      <c r="A3138" s="4" t="s">
        <v>6274</v>
      </c>
      <c r="B3138" s="4" t="s">
        <v>6275</v>
      </c>
    </row>
    <row r="3139">
      <c r="A3139" s="4" t="s">
        <v>6276</v>
      </c>
      <c r="B3139" s="4" t="s">
        <v>6277</v>
      </c>
    </row>
    <row r="3140">
      <c r="A3140" s="4" t="s">
        <v>6278</v>
      </c>
      <c r="B3140" s="4" t="s">
        <v>6279</v>
      </c>
    </row>
    <row r="3141">
      <c r="A3141" s="4" t="s">
        <v>6280</v>
      </c>
      <c r="B3141" s="4" t="s">
        <v>6281</v>
      </c>
    </row>
    <row r="3142">
      <c r="A3142" s="4" t="s">
        <v>6282</v>
      </c>
      <c r="B3142" s="4" t="s">
        <v>6283</v>
      </c>
    </row>
    <row r="3143">
      <c r="A3143" s="4" t="s">
        <v>6284</v>
      </c>
      <c r="B3143" s="4" t="s">
        <v>6285</v>
      </c>
    </row>
    <row r="3144">
      <c r="A3144" s="4" t="s">
        <v>6286</v>
      </c>
      <c r="B3144" s="4" t="s">
        <v>6287</v>
      </c>
    </row>
    <row r="3145">
      <c r="A3145" s="4" t="s">
        <v>6288</v>
      </c>
      <c r="B3145" s="4" t="s">
        <v>6289</v>
      </c>
    </row>
    <row r="3146">
      <c r="A3146" s="4" t="s">
        <v>6290</v>
      </c>
      <c r="B3146" s="4" t="s">
        <v>6291</v>
      </c>
    </row>
    <row r="3147">
      <c r="A3147" s="4" t="s">
        <v>6292</v>
      </c>
      <c r="B3147" s="4" t="s">
        <v>6293</v>
      </c>
    </row>
    <row r="3148">
      <c r="A3148" s="4" t="s">
        <v>6294</v>
      </c>
      <c r="B3148" s="4" t="s">
        <v>6295</v>
      </c>
    </row>
    <row r="3149">
      <c r="A3149" s="4" t="s">
        <v>6296</v>
      </c>
      <c r="B3149" s="4" t="s">
        <v>6297</v>
      </c>
    </row>
    <row r="3150">
      <c r="A3150" s="4" t="s">
        <v>6298</v>
      </c>
      <c r="B3150" s="4" t="s">
        <v>6299</v>
      </c>
    </row>
    <row r="3151">
      <c r="A3151" s="4" t="s">
        <v>6300</v>
      </c>
      <c r="B3151" s="4" t="s">
        <v>6301</v>
      </c>
    </row>
    <row r="3152">
      <c r="A3152" s="4" t="s">
        <v>6302</v>
      </c>
      <c r="B3152" s="4" t="s">
        <v>6303</v>
      </c>
    </row>
    <row r="3153">
      <c r="A3153" s="4" t="s">
        <v>6304</v>
      </c>
      <c r="B3153" s="4" t="s">
        <v>6305</v>
      </c>
    </row>
    <row r="3154">
      <c r="A3154" s="4" t="s">
        <v>6306</v>
      </c>
      <c r="B3154" s="4" t="s">
        <v>6307</v>
      </c>
    </row>
    <row r="3155">
      <c r="A3155" s="4" t="s">
        <v>6308</v>
      </c>
      <c r="B3155" s="4" t="s">
        <v>6309</v>
      </c>
    </row>
    <row r="3156">
      <c r="A3156" s="4" t="s">
        <v>6310</v>
      </c>
      <c r="B3156" s="4" t="s">
        <v>6311</v>
      </c>
    </row>
    <row r="3157">
      <c r="A3157" s="4" t="s">
        <v>6312</v>
      </c>
      <c r="B3157" s="4" t="s">
        <v>6313</v>
      </c>
    </row>
    <row r="3158">
      <c r="A3158" s="4" t="s">
        <v>6314</v>
      </c>
      <c r="B3158" s="4" t="s">
        <v>6315</v>
      </c>
    </row>
    <row r="3159">
      <c r="A3159" s="4" t="s">
        <v>6316</v>
      </c>
      <c r="B3159" s="4" t="s">
        <v>6317</v>
      </c>
    </row>
    <row r="3160">
      <c r="A3160" s="4" t="s">
        <v>6318</v>
      </c>
      <c r="B3160" s="4" t="s">
        <v>6319</v>
      </c>
    </row>
    <row r="3161">
      <c r="A3161" s="4" t="s">
        <v>6320</v>
      </c>
      <c r="B3161" s="4" t="s">
        <v>6321</v>
      </c>
    </row>
    <row r="3162">
      <c r="A3162" s="4" t="s">
        <v>6322</v>
      </c>
      <c r="B3162" s="4" t="s">
        <v>6323</v>
      </c>
    </row>
    <row r="3163">
      <c r="A3163" s="4" t="s">
        <v>6324</v>
      </c>
      <c r="B3163" s="4" t="s">
        <v>6325</v>
      </c>
    </row>
    <row r="3164">
      <c r="A3164" s="4" t="s">
        <v>6326</v>
      </c>
      <c r="B3164" s="4" t="s">
        <v>6327</v>
      </c>
    </row>
    <row r="3165">
      <c r="A3165" s="4" t="s">
        <v>6328</v>
      </c>
      <c r="B3165" s="4" t="s">
        <v>6329</v>
      </c>
    </row>
    <row r="3166">
      <c r="A3166" s="4" t="s">
        <v>6330</v>
      </c>
      <c r="B3166" s="4" t="s">
        <v>6331</v>
      </c>
    </row>
    <row r="3167">
      <c r="A3167" s="4" t="s">
        <v>6332</v>
      </c>
      <c r="B3167" s="4" t="s">
        <v>6333</v>
      </c>
    </row>
    <row r="3168">
      <c r="A3168" s="4" t="s">
        <v>6334</v>
      </c>
      <c r="B3168" s="4" t="s">
        <v>6335</v>
      </c>
    </row>
    <row r="3169">
      <c r="A3169" s="4" t="s">
        <v>6336</v>
      </c>
      <c r="B3169" s="4" t="s">
        <v>6337</v>
      </c>
    </row>
    <row r="3170">
      <c r="A3170" s="4" t="s">
        <v>6338</v>
      </c>
      <c r="B3170" s="4" t="s">
        <v>6339</v>
      </c>
    </row>
    <row r="3171">
      <c r="A3171" s="4" t="s">
        <v>6340</v>
      </c>
      <c r="B3171" s="4" t="s">
        <v>6341</v>
      </c>
    </row>
    <row r="3172">
      <c r="A3172" s="4" t="s">
        <v>6342</v>
      </c>
      <c r="B3172" s="4" t="s">
        <v>6343</v>
      </c>
    </row>
    <row r="3173">
      <c r="A3173" s="4" t="s">
        <v>6344</v>
      </c>
      <c r="B3173" s="4" t="s">
        <v>6345</v>
      </c>
    </row>
    <row r="3174">
      <c r="A3174" s="4" t="s">
        <v>6346</v>
      </c>
      <c r="B3174" s="4" t="s">
        <v>6347</v>
      </c>
    </row>
    <row r="3175">
      <c r="A3175" s="4" t="s">
        <v>6348</v>
      </c>
      <c r="B3175" s="4" t="s">
        <v>6349</v>
      </c>
    </row>
    <row r="3176">
      <c r="A3176" s="4" t="s">
        <v>6350</v>
      </c>
      <c r="B3176" s="4" t="s">
        <v>6351</v>
      </c>
    </row>
    <row r="3177">
      <c r="A3177" s="4" t="s">
        <v>6352</v>
      </c>
      <c r="B3177" s="4" t="s">
        <v>6353</v>
      </c>
    </row>
    <row r="3178">
      <c r="A3178" s="4" t="s">
        <v>6354</v>
      </c>
      <c r="B3178" s="4" t="s">
        <v>6355</v>
      </c>
    </row>
    <row r="3179">
      <c r="A3179" s="4" t="s">
        <v>6356</v>
      </c>
      <c r="B3179" s="4" t="s">
        <v>6357</v>
      </c>
    </row>
    <row r="3180">
      <c r="A3180" s="4" t="s">
        <v>6358</v>
      </c>
      <c r="B3180" s="4" t="s">
        <v>6359</v>
      </c>
    </row>
    <row r="3181">
      <c r="A3181" s="4" t="s">
        <v>6360</v>
      </c>
      <c r="B3181" s="4" t="s">
        <v>6361</v>
      </c>
    </row>
    <row r="3182">
      <c r="A3182" s="4" t="s">
        <v>6362</v>
      </c>
      <c r="B3182" s="4" t="s">
        <v>6363</v>
      </c>
    </row>
    <row r="3183">
      <c r="A3183" s="4" t="s">
        <v>6364</v>
      </c>
      <c r="B3183" s="4" t="s">
        <v>6365</v>
      </c>
    </row>
    <row r="3184">
      <c r="A3184" s="4" t="s">
        <v>6366</v>
      </c>
      <c r="B3184" s="4" t="s">
        <v>6367</v>
      </c>
    </row>
    <row r="3185">
      <c r="A3185" s="4" t="s">
        <v>6368</v>
      </c>
      <c r="B3185" s="4" t="s">
        <v>6369</v>
      </c>
    </row>
    <row r="3186">
      <c r="A3186" s="4" t="s">
        <v>6370</v>
      </c>
      <c r="B3186" s="4" t="s">
        <v>6371</v>
      </c>
    </row>
    <row r="3187">
      <c r="A3187" s="4" t="s">
        <v>6372</v>
      </c>
      <c r="B3187" s="4" t="s">
        <v>6373</v>
      </c>
    </row>
    <row r="3188">
      <c r="A3188" s="4" t="s">
        <v>6374</v>
      </c>
      <c r="B3188" s="4" t="s">
        <v>6375</v>
      </c>
    </row>
    <row r="3189">
      <c r="A3189" s="4" t="s">
        <v>6376</v>
      </c>
      <c r="B3189" s="4" t="s">
        <v>6377</v>
      </c>
    </row>
    <row r="3190">
      <c r="A3190" s="4" t="s">
        <v>6378</v>
      </c>
      <c r="B3190" s="4" t="s">
        <v>6379</v>
      </c>
    </row>
    <row r="3191">
      <c r="A3191" s="4" t="s">
        <v>6380</v>
      </c>
      <c r="B3191" s="4" t="s">
        <v>6381</v>
      </c>
    </row>
    <row r="3192">
      <c r="A3192" s="4" t="s">
        <v>6382</v>
      </c>
      <c r="B3192" s="4" t="s">
        <v>6383</v>
      </c>
    </row>
    <row r="3193">
      <c r="A3193" s="4" t="s">
        <v>6384</v>
      </c>
      <c r="B3193" s="4" t="s">
        <v>6385</v>
      </c>
    </row>
    <row r="3194">
      <c r="A3194" s="4" t="s">
        <v>6386</v>
      </c>
      <c r="B3194" s="4" t="s">
        <v>6387</v>
      </c>
    </row>
    <row r="3195">
      <c r="A3195" s="4" t="s">
        <v>6388</v>
      </c>
      <c r="B3195" s="4" t="s">
        <v>6389</v>
      </c>
    </row>
    <row r="3196">
      <c r="A3196" s="4" t="s">
        <v>6390</v>
      </c>
      <c r="B3196" s="4" t="s">
        <v>6391</v>
      </c>
    </row>
    <row r="3197">
      <c r="A3197" s="4" t="s">
        <v>6392</v>
      </c>
      <c r="B3197" s="4" t="s">
        <v>6393</v>
      </c>
    </row>
    <row r="3198">
      <c r="A3198" s="4" t="s">
        <v>6394</v>
      </c>
      <c r="B3198" s="4" t="s">
        <v>6395</v>
      </c>
    </row>
    <row r="3199">
      <c r="A3199" s="4" t="s">
        <v>6396</v>
      </c>
      <c r="B3199" s="4" t="s">
        <v>6397</v>
      </c>
    </row>
    <row r="3200">
      <c r="A3200" s="4" t="s">
        <v>6398</v>
      </c>
      <c r="B3200" s="4" t="s">
        <v>6399</v>
      </c>
    </row>
    <row r="3201">
      <c r="A3201" s="4" t="s">
        <v>6400</v>
      </c>
      <c r="B3201" s="4" t="s">
        <v>6401</v>
      </c>
    </row>
    <row r="3202">
      <c r="A3202" s="4" t="s">
        <v>6402</v>
      </c>
      <c r="B3202" s="4" t="s">
        <v>6403</v>
      </c>
    </row>
    <row r="3203">
      <c r="A3203" s="4" t="s">
        <v>6404</v>
      </c>
      <c r="B3203" s="4" t="s">
        <v>6405</v>
      </c>
    </row>
    <row r="3204">
      <c r="A3204" s="4" t="s">
        <v>6406</v>
      </c>
      <c r="B3204" s="4" t="s">
        <v>6407</v>
      </c>
    </row>
    <row r="3205">
      <c r="A3205" s="4" t="s">
        <v>6408</v>
      </c>
      <c r="B3205" s="4" t="s">
        <v>6409</v>
      </c>
    </row>
    <row r="3206">
      <c r="A3206" s="4" t="s">
        <v>6410</v>
      </c>
      <c r="B3206" s="4" t="s">
        <v>6411</v>
      </c>
    </row>
    <row r="3207">
      <c r="A3207" s="4" t="s">
        <v>6412</v>
      </c>
      <c r="B3207" s="4" t="s">
        <v>6413</v>
      </c>
    </row>
    <row r="3208">
      <c r="A3208" s="4" t="s">
        <v>6414</v>
      </c>
      <c r="B3208" s="4" t="s">
        <v>6415</v>
      </c>
    </row>
    <row r="3209">
      <c r="A3209" s="4" t="s">
        <v>6416</v>
      </c>
      <c r="B3209" s="4" t="s">
        <v>6417</v>
      </c>
    </row>
    <row r="3210">
      <c r="A3210" s="4" t="s">
        <v>6418</v>
      </c>
      <c r="B3210" s="4" t="s">
        <v>6419</v>
      </c>
    </row>
    <row r="3211">
      <c r="A3211" s="4" t="s">
        <v>6420</v>
      </c>
      <c r="B3211" s="4" t="s">
        <v>6421</v>
      </c>
    </row>
    <row r="3212">
      <c r="A3212" s="4" t="s">
        <v>6422</v>
      </c>
      <c r="B3212" s="4" t="s">
        <v>6423</v>
      </c>
    </row>
    <row r="3213">
      <c r="A3213" s="4" t="s">
        <v>6424</v>
      </c>
      <c r="B3213" s="4" t="s">
        <v>6425</v>
      </c>
    </row>
    <row r="3214">
      <c r="A3214" s="4" t="s">
        <v>6426</v>
      </c>
      <c r="B3214" s="4" t="s">
        <v>6427</v>
      </c>
    </row>
    <row r="3215">
      <c r="A3215" s="4" t="s">
        <v>6428</v>
      </c>
      <c r="B3215" s="4" t="s">
        <v>6429</v>
      </c>
    </row>
    <row r="3216">
      <c r="A3216" s="4" t="s">
        <v>6430</v>
      </c>
      <c r="B3216" s="4" t="s">
        <v>6431</v>
      </c>
    </row>
    <row r="3217">
      <c r="A3217" s="4" t="s">
        <v>6432</v>
      </c>
      <c r="B3217" s="4" t="s">
        <v>6433</v>
      </c>
    </row>
    <row r="3218">
      <c r="A3218" s="4" t="s">
        <v>6434</v>
      </c>
      <c r="B3218" s="4" t="s">
        <v>6435</v>
      </c>
    </row>
    <row r="3219">
      <c r="A3219" s="4" t="s">
        <v>6436</v>
      </c>
      <c r="B3219" s="4" t="s">
        <v>6437</v>
      </c>
    </row>
    <row r="3220">
      <c r="A3220" s="4" t="s">
        <v>6438</v>
      </c>
      <c r="B3220" s="4" t="s">
        <v>6439</v>
      </c>
    </row>
    <row r="3221">
      <c r="A3221" s="4" t="s">
        <v>6440</v>
      </c>
      <c r="B3221" s="4" t="s">
        <v>6441</v>
      </c>
    </row>
    <row r="3222">
      <c r="A3222" s="4" t="s">
        <v>6442</v>
      </c>
      <c r="B3222" s="4" t="s">
        <v>6443</v>
      </c>
    </row>
    <row r="3223">
      <c r="A3223" s="4" t="s">
        <v>6444</v>
      </c>
      <c r="B3223" s="4" t="s">
        <v>6445</v>
      </c>
    </row>
    <row r="3224">
      <c r="A3224" s="4" t="s">
        <v>6446</v>
      </c>
      <c r="B3224" s="4" t="s">
        <v>6447</v>
      </c>
    </row>
    <row r="3225">
      <c r="A3225" s="4" t="s">
        <v>6448</v>
      </c>
      <c r="B3225" s="4" t="s">
        <v>6449</v>
      </c>
    </row>
    <row r="3226">
      <c r="A3226" s="4" t="s">
        <v>6450</v>
      </c>
      <c r="B3226" s="4" t="s">
        <v>6451</v>
      </c>
    </row>
    <row r="3227">
      <c r="A3227" s="4" t="s">
        <v>6452</v>
      </c>
      <c r="B3227" s="4" t="s">
        <v>6453</v>
      </c>
    </row>
    <row r="3228">
      <c r="A3228" s="4" t="s">
        <v>6454</v>
      </c>
      <c r="B3228" s="4" t="s">
        <v>6455</v>
      </c>
    </row>
    <row r="3229">
      <c r="A3229" s="4" t="s">
        <v>6456</v>
      </c>
      <c r="B3229" s="4" t="s">
        <v>6457</v>
      </c>
    </row>
    <row r="3230">
      <c r="A3230" s="4" t="s">
        <v>6458</v>
      </c>
      <c r="B3230" s="4" t="s">
        <v>6459</v>
      </c>
    </row>
    <row r="3231">
      <c r="A3231" s="4" t="s">
        <v>6460</v>
      </c>
      <c r="B3231" s="4" t="s">
        <v>6461</v>
      </c>
    </row>
    <row r="3232">
      <c r="A3232" s="4" t="s">
        <v>6462</v>
      </c>
      <c r="B3232" s="4" t="s">
        <v>6463</v>
      </c>
    </row>
    <row r="3233">
      <c r="A3233" s="4" t="s">
        <v>6464</v>
      </c>
      <c r="B3233" s="4" t="s">
        <v>6465</v>
      </c>
    </row>
    <row r="3234">
      <c r="A3234" s="4" t="s">
        <v>6466</v>
      </c>
      <c r="B3234" s="4" t="s">
        <v>6467</v>
      </c>
    </row>
    <row r="3235">
      <c r="A3235" s="4" t="s">
        <v>6468</v>
      </c>
      <c r="B3235" s="4" t="s">
        <v>6469</v>
      </c>
    </row>
    <row r="3236">
      <c r="A3236" s="4" t="s">
        <v>6470</v>
      </c>
      <c r="B3236" s="4" t="s">
        <v>6471</v>
      </c>
    </row>
    <row r="3237">
      <c r="A3237" s="4" t="s">
        <v>6472</v>
      </c>
      <c r="B3237" s="4" t="s">
        <v>6473</v>
      </c>
    </row>
    <row r="3238">
      <c r="A3238" s="4" t="s">
        <v>6474</v>
      </c>
      <c r="B3238" s="4" t="s">
        <v>6475</v>
      </c>
    </row>
    <row r="3239">
      <c r="A3239" s="4" t="s">
        <v>6476</v>
      </c>
      <c r="B3239" s="4" t="s">
        <v>6477</v>
      </c>
    </row>
    <row r="3240">
      <c r="A3240" s="4" t="s">
        <v>6478</v>
      </c>
      <c r="B3240" s="4" t="s">
        <v>6479</v>
      </c>
    </row>
    <row r="3241">
      <c r="A3241" s="4" t="s">
        <v>6480</v>
      </c>
      <c r="B3241" s="4" t="s">
        <v>6481</v>
      </c>
    </row>
    <row r="3242">
      <c r="A3242" s="4" t="s">
        <v>6482</v>
      </c>
      <c r="B3242" s="4" t="s">
        <v>6483</v>
      </c>
    </row>
    <row r="3243">
      <c r="A3243" s="4" t="s">
        <v>6484</v>
      </c>
      <c r="B3243" s="4" t="s">
        <v>6485</v>
      </c>
    </row>
    <row r="3244">
      <c r="A3244" s="4" t="s">
        <v>6486</v>
      </c>
      <c r="B3244" s="4" t="s">
        <v>6487</v>
      </c>
    </row>
    <row r="3245">
      <c r="A3245" s="4" t="s">
        <v>6488</v>
      </c>
      <c r="B3245" s="4" t="s">
        <v>6489</v>
      </c>
    </row>
    <row r="3246">
      <c r="A3246" s="4" t="s">
        <v>6490</v>
      </c>
      <c r="B3246" s="4" t="s">
        <v>6491</v>
      </c>
    </row>
    <row r="3247">
      <c r="A3247" s="4" t="s">
        <v>6492</v>
      </c>
      <c r="B3247" s="4" t="s">
        <v>6493</v>
      </c>
    </row>
    <row r="3248">
      <c r="A3248" s="4" t="s">
        <v>6494</v>
      </c>
      <c r="B3248" s="4" t="s">
        <v>6495</v>
      </c>
    </row>
    <row r="3249">
      <c r="A3249" s="4" t="s">
        <v>6496</v>
      </c>
      <c r="B3249" s="4" t="s">
        <v>6497</v>
      </c>
    </row>
    <row r="3250">
      <c r="A3250" s="4" t="s">
        <v>6498</v>
      </c>
      <c r="B3250" s="4" t="s">
        <v>6499</v>
      </c>
    </row>
    <row r="3251">
      <c r="A3251" s="4" t="s">
        <v>6500</v>
      </c>
      <c r="B3251" s="4" t="s">
        <v>6501</v>
      </c>
    </row>
    <row r="3252">
      <c r="A3252" s="4" t="s">
        <v>6502</v>
      </c>
      <c r="B3252" s="4" t="s">
        <v>6503</v>
      </c>
    </row>
    <row r="3253">
      <c r="A3253" s="4" t="s">
        <v>6504</v>
      </c>
      <c r="B3253" s="4" t="s">
        <v>6505</v>
      </c>
    </row>
    <row r="3254">
      <c r="A3254" s="4" t="s">
        <v>6506</v>
      </c>
      <c r="B3254" s="4" t="s">
        <v>6507</v>
      </c>
    </row>
    <row r="3255">
      <c r="A3255" s="4" t="s">
        <v>6508</v>
      </c>
      <c r="B3255" s="4" t="s">
        <v>6509</v>
      </c>
    </row>
    <row r="3256">
      <c r="A3256" s="4" t="s">
        <v>6510</v>
      </c>
      <c r="B3256" s="4" t="s">
        <v>6511</v>
      </c>
    </row>
    <row r="3257">
      <c r="A3257" s="4" t="s">
        <v>6512</v>
      </c>
      <c r="B3257" s="4" t="s">
        <v>6513</v>
      </c>
    </row>
    <row r="3258">
      <c r="A3258" s="4" t="s">
        <v>6514</v>
      </c>
      <c r="B3258" s="4" t="s">
        <v>6515</v>
      </c>
    </row>
    <row r="3259">
      <c r="A3259" s="4" t="s">
        <v>6516</v>
      </c>
      <c r="B3259" s="4" t="s">
        <v>6517</v>
      </c>
    </row>
    <row r="3260">
      <c r="A3260" s="4" t="s">
        <v>6518</v>
      </c>
      <c r="B3260" s="4" t="s">
        <v>6519</v>
      </c>
    </row>
    <row r="3261">
      <c r="A3261" s="4" t="s">
        <v>6520</v>
      </c>
      <c r="B3261" s="4" t="s">
        <v>6521</v>
      </c>
    </row>
    <row r="3262">
      <c r="A3262" s="4" t="s">
        <v>6522</v>
      </c>
      <c r="B3262" s="4" t="s">
        <v>6523</v>
      </c>
    </row>
    <row r="3263">
      <c r="A3263" s="4" t="s">
        <v>6524</v>
      </c>
      <c r="B3263" s="4" t="s">
        <v>6525</v>
      </c>
    </row>
    <row r="3264">
      <c r="A3264" s="4" t="s">
        <v>6526</v>
      </c>
      <c r="B3264" s="4" t="s">
        <v>6527</v>
      </c>
    </row>
    <row r="3265">
      <c r="A3265" s="4" t="s">
        <v>6528</v>
      </c>
      <c r="B3265" s="4" t="s">
        <v>6529</v>
      </c>
    </row>
    <row r="3266">
      <c r="A3266" s="4" t="s">
        <v>6530</v>
      </c>
      <c r="B3266" s="4" t="s">
        <v>6531</v>
      </c>
    </row>
    <row r="3267">
      <c r="A3267" s="4" t="s">
        <v>6532</v>
      </c>
      <c r="B3267" s="4" t="s">
        <v>6533</v>
      </c>
    </row>
    <row r="3268">
      <c r="A3268" s="4" t="s">
        <v>6534</v>
      </c>
      <c r="B3268" s="4" t="s">
        <v>6535</v>
      </c>
    </row>
    <row r="3269">
      <c r="A3269" s="4" t="s">
        <v>6536</v>
      </c>
      <c r="B3269" s="4" t="s">
        <v>6537</v>
      </c>
    </row>
    <row r="3270">
      <c r="A3270" s="4" t="s">
        <v>6538</v>
      </c>
      <c r="B3270" s="4" t="s">
        <v>6539</v>
      </c>
    </row>
    <row r="3271">
      <c r="A3271" s="4" t="s">
        <v>6540</v>
      </c>
      <c r="B3271" s="4" t="s">
        <v>6541</v>
      </c>
    </row>
    <row r="3272">
      <c r="A3272" s="4" t="s">
        <v>6542</v>
      </c>
      <c r="B3272" s="4" t="s">
        <v>6543</v>
      </c>
    </row>
    <row r="3273">
      <c r="A3273" s="4" t="s">
        <v>6544</v>
      </c>
      <c r="B3273" s="4" t="s">
        <v>6545</v>
      </c>
    </row>
    <row r="3274">
      <c r="A3274" s="4" t="s">
        <v>6546</v>
      </c>
      <c r="B3274" s="4" t="s">
        <v>6547</v>
      </c>
    </row>
    <row r="3275">
      <c r="A3275" s="4" t="s">
        <v>6548</v>
      </c>
      <c r="B3275" s="4" t="s">
        <v>6549</v>
      </c>
    </row>
    <row r="3276">
      <c r="A3276" s="4" t="s">
        <v>6550</v>
      </c>
      <c r="B3276" s="4" t="s">
        <v>6551</v>
      </c>
    </row>
    <row r="3277">
      <c r="A3277" s="4" t="s">
        <v>6552</v>
      </c>
      <c r="B3277" s="4" t="s">
        <v>6553</v>
      </c>
    </row>
    <row r="3278">
      <c r="A3278" s="4" t="s">
        <v>6554</v>
      </c>
      <c r="B3278" s="4" t="s">
        <v>6555</v>
      </c>
    </row>
    <row r="3279">
      <c r="A3279" s="4" t="s">
        <v>6556</v>
      </c>
      <c r="B3279" s="4" t="s">
        <v>6557</v>
      </c>
    </row>
    <row r="3280">
      <c r="A3280" s="4" t="s">
        <v>6558</v>
      </c>
      <c r="B3280" s="4" t="s">
        <v>6559</v>
      </c>
    </row>
    <row r="3281">
      <c r="A3281" s="4" t="s">
        <v>6560</v>
      </c>
      <c r="B3281" s="4" t="s">
        <v>6561</v>
      </c>
    </row>
    <row r="3282">
      <c r="A3282" s="4" t="s">
        <v>6562</v>
      </c>
      <c r="B3282" s="4" t="s">
        <v>6563</v>
      </c>
    </row>
    <row r="3283">
      <c r="A3283" s="4" t="s">
        <v>6564</v>
      </c>
      <c r="B3283" s="4" t="s">
        <v>6565</v>
      </c>
    </row>
    <row r="3284">
      <c r="A3284" s="4" t="s">
        <v>6566</v>
      </c>
      <c r="B3284" s="4" t="s">
        <v>6567</v>
      </c>
    </row>
    <row r="3285">
      <c r="A3285" s="4" t="s">
        <v>6568</v>
      </c>
      <c r="B3285" s="4" t="s">
        <v>6569</v>
      </c>
    </row>
    <row r="3286">
      <c r="A3286" s="4" t="s">
        <v>6570</v>
      </c>
      <c r="B3286" s="4" t="s">
        <v>6571</v>
      </c>
    </row>
    <row r="3287">
      <c r="A3287" s="4" t="s">
        <v>6572</v>
      </c>
      <c r="B3287" s="4" t="s">
        <v>6573</v>
      </c>
    </row>
    <row r="3288">
      <c r="A3288" s="4" t="s">
        <v>6574</v>
      </c>
      <c r="B3288" s="4" t="s">
        <v>6575</v>
      </c>
    </row>
    <row r="3289">
      <c r="A3289" s="4" t="s">
        <v>6576</v>
      </c>
      <c r="B3289" s="4" t="s">
        <v>6577</v>
      </c>
    </row>
    <row r="3290">
      <c r="A3290" s="4" t="s">
        <v>6578</v>
      </c>
      <c r="B3290" s="4" t="s">
        <v>6579</v>
      </c>
    </row>
    <row r="3291">
      <c r="A3291" s="4" t="s">
        <v>6580</v>
      </c>
      <c r="B3291" s="4" t="s">
        <v>6581</v>
      </c>
    </row>
    <row r="3292">
      <c r="A3292" s="4" t="s">
        <v>6582</v>
      </c>
      <c r="B3292" s="4" t="s">
        <v>6583</v>
      </c>
    </row>
    <row r="3293">
      <c r="A3293" s="4" t="s">
        <v>6584</v>
      </c>
      <c r="B3293" s="4" t="s">
        <v>6585</v>
      </c>
    </row>
    <row r="3294">
      <c r="A3294" s="4" t="s">
        <v>6586</v>
      </c>
      <c r="B3294" s="4" t="s">
        <v>6587</v>
      </c>
    </row>
    <row r="3295">
      <c r="A3295" s="4" t="s">
        <v>6588</v>
      </c>
      <c r="B3295" s="4" t="s">
        <v>6589</v>
      </c>
    </row>
    <row r="3296">
      <c r="A3296" s="4" t="s">
        <v>6590</v>
      </c>
      <c r="B3296" s="4" t="s">
        <v>6591</v>
      </c>
    </row>
    <row r="3297">
      <c r="A3297" s="4" t="s">
        <v>6592</v>
      </c>
      <c r="B3297" s="4" t="s">
        <v>6593</v>
      </c>
    </row>
    <row r="3298">
      <c r="A3298" s="4" t="s">
        <v>6594</v>
      </c>
      <c r="B3298" s="4" t="s">
        <v>6595</v>
      </c>
    </row>
    <row r="3299">
      <c r="A3299" s="4" t="s">
        <v>6596</v>
      </c>
      <c r="B3299" s="4" t="s">
        <v>6597</v>
      </c>
    </row>
    <row r="3300">
      <c r="A3300" s="4" t="s">
        <v>6598</v>
      </c>
      <c r="B3300" s="4" t="s">
        <v>6599</v>
      </c>
    </row>
    <row r="3301">
      <c r="A3301" s="4" t="s">
        <v>6600</v>
      </c>
      <c r="B3301" s="4" t="s">
        <v>6601</v>
      </c>
    </row>
    <row r="3302">
      <c r="A3302" s="4" t="s">
        <v>6602</v>
      </c>
      <c r="B3302" s="4" t="s">
        <v>6603</v>
      </c>
    </row>
    <row r="3303">
      <c r="A3303" s="4" t="s">
        <v>6604</v>
      </c>
      <c r="B3303" s="4" t="s">
        <v>6605</v>
      </c>
    </row>
    <row r="3304">
      <c r="A3304" s="4" t="s">
        <v>6606</v>
      </c>
      <c r="B3304" s="4" t="s">
        <v>6607</v>
      </c>
    </row>
    <row r="3305">
      <c r="A3305" s="4" t="s">
        <v>6608</v>
      </c>
      <c r="B3305" s="4" t="s">
        <v>6609</v>
      </c>
    </row>
    <row r="3306">
      <c r="A3306" s="4" t="s">
        <v>6610</v>
      </c>
      <c r="B3306" s="4" t="s">
        <v>6611</v>
      </c>
    </row>
    <row r="3307">
      <c r="A3307" s="4" t="s">
        <v>6612</v>
      </c>
      <c r="B3307" s="4" t="s">
        <v>6613</v>
      </c>
    </row>
    <row r="3308">
      <c r="A3308" s="4" t="s">
        <v>6614</v>
      </c>
      <c r="B3308" s="4" t="s">
        <v>6615</v>
      </c>
    </row>
    <row r="3309">
      <c r="A3309" s="4" t="s">
        <v>6616</v>
      </c>
      <c r="B3309" s="4" t="s">
        <v>6617</v>
      </c>
    </row>
    <row r="3310">
      <c r="A3310" s="4" t="s">
        <v>6618</v>
      </c>
      <c r="B3310" s="4" t="s">
        <v>6619</v>
      </c>
    </row>
    <row r="3311">
      <c r="A3311" s="4" t="s">
        <v>6620</v>
      </c>
      <c r="B3311" s="4" t="s">
        <v>6621</v>
      </c>
    </row>
    <row r="3312">
      <c r="A3312" s="4" t="s">
        <v>6622</v>
      </c>
      <c r="B3312" s="4" t="s">
        <v>6623</v>
      </c>
    </row>
    <row r="3313">
      <c r="A3313" s="4" t="s">
        <v>6624</v>
      </c>
      <c r="B3313" s="4" t="s">
        <v>6625</v>
      </c>
    </row>
    <row r="3314">
      <c r="A3314" s="4" t="s">
        <v>6626</v>
      </c>
      <c r="B3314" s="4" t="s">
        <v>6627</v>
      </c>
    </row>
    <row r="3315">
      <c r="A3315" s="4" t="s">
        <v>6628</v>
      </c>
      <c r="B3315" s="4" t="s">
        <v>6629</v>
      </c>
    </row>
    <row r="3316">
      <c r="A3316" s="4" t="s">
        <v>6630</v>
      </c>
      <c r="B3316" s="4" t="s">
        <v>6631</v>
      </c>
    </row>
    <row r="3317">
      <c r="A3317" s="4" t="s">
        <v>6632</v>
      </c>
      <c r="B3317" s="4" t="s">
        <v>6633</v>
      </c>
    </row>
    <row r="3318">
      <c r="A3318" s="4" t="s">
        <v>6634</v>
      </c>
      <c r="B3318" s="4" t="s">
        <v>6635</v>
      </c>
    </row>
    <row r="3319">
      <c r="A3319" s="4" t="s">
        <v>6636</v>
      </c>
      <c r="B3319" s="4" t="s">
        <v>6637</v>
      </c>
    </row>
    <row r="3320">
      <c r="A3320" s="4" t="s">
        <v>6638</v>
      </c>
      <c r="B3320" s="4" t="s">
        <v>6639</v>
      </c>
    </row>
    <row r="3321">
      <c r="A3321" s="4" t="s">
        <v>6640</v>
      </c>
      <c r="B3321" s="4" t="s">
        <v>6641</v>
      </c>
    </row>
    <row r="3322">
      <c r="A3322" s="4" t="s">
        <v>6642</v>
      </c>
      <c r="B3322" s="4" t="s">
        <v>6643</v>
      </c>
    </row>
    <row r="3323">
      <c r="A3323" s="4" t="s">
        <v>6644</v>
      </c>
      <c r="B3323" s="4" t="s">
        <v>6645</v>
      </c>
    </row>
    <row r="3324">
      <c r="A3324" s="4" t="s">
        <v>6646</v>
      </c>
      <c r="B3324" s="4" t="s">
        <v>6647</v>
      </c>
    </row>
    <row r="3325">
      <c r="A3325" s="4" t="s">
        <v>6648</v>
      </c>
      <c r="B3325" s="4" t="s">
        <v>6649</v>
      </c>
    </row>
    <row r="3326">
      <c r="A3326" s="4" t="s">
        <v>6650</v>
      </c>
      <c r="B3326" s="4" t="s">
        <v>6651</v>
      </c>
    </row>
    <row r="3327">
      <c r="A3327" s="4" t="s">
        <v>6652</v>
      </c>
      <c r="B3327" s="4" t="s">
        <v>6653</v>
      </c>
    </row>
    <row r="3328">
      <c r="A3328" s="4" t="s">
        <v>6654</v>
      </c>
      <c r="B3328" s="4" t="s">
        <v>6655</v>
      </c>
    </row>
    <row r="3329">
      <c r="A3329" s="4" t="s">
        <v>6656</v>
      </c>
      <c r="B3329" s="4" t="s">
        <v>6657</v>
      </c>
    </row>
    <row r="3330">
      <c r="A3330" s="4" t="s">
        <v>6658</v>
      </c>
      <c r="B3330" s="4" t="s">
        <v>6659</v>
      </c>
    </row>
    <row r="3331">
      <c r="A3331" s="4" t="s">
        <v>6660</v>
      </c>
      <c r="B3331" s="4" t="s">
        <v>6661</v>
      </c>
    </row>
    <row r="3332">
      <c r="A3332" s="4" t="s">
        <v>6662</v>
      </c>
      <c r="B3332" s="4" t="s">
        <v>6663</v>
      </c>
    </row>
    <row r="3333">
      <c r="A3333" s="4" t="s">
        <v>6664</v>
      </c>
      <c r="B3333" s="4" t="s">
        <v>6665</v>
      </c>
    </row>
    <row r="3334">
      <c r="A3334" s="4" t="s">
        <v>6666</v>
      </c>
      <c r="B3334" s="4" t="s">
        <v>6667</v>
      </c>
    </row>
    <row r="3335">
      <c r="A3335" s="4" t="s">
        <v>6668</v>
      </c>
      <c r="B3335" s="4" t="s">
        <v>6669</v>
      </c>
    </row>
    <row r="3336">
      <c r="A3336" s="4" t="s">
        <v>6670</v>
      </c>
      <c r="B3336" s="4" t="s">
        <v>6671</v>
      </c>
    </row>
    <row r="3337">
      <c r="A3337" s="4" t="s">
        <v>6672</v>
      </c>
      <c r="B3337" s="4" t="s">
        <v>6673</v>
      </c>
    </row>
    <row r="3338">
      <c r="A3338" s="4" t="s">
        <v>6674</v>
      </c>
      <c r="B3338" s="4" t="s">
        <v>6675</v>
      </c>
    </row>
    <row r="3339">
      <c r="A3339" s="4" t="s">
        <v>6676</v>
      </c>
      <c r="B3339" s="4" t="s">
        <v>6677</v>
      </c>
    </row>
    <row r="3340">
      <c r="A3340" s="4" t="s">
        <v>6678</v>
      </c>
      <c r="B3340" s="4" t="s">
        <v>6679</v>
      </c>
    </row>
    <row r="3341">
      <c r="A3341" s="4" t="s">
        <v>6680</v>
      </c>
      <c r="B3341" s="4" t="s">
        <v>6681</v>
      </c>
    </row>
    <row r="3342">
      <c r="A3342" s="4" t="s">
        <v>6682</v>
      </c>
      <c r="B3342" s="4" t="s">
        <v>6683</v>
      </c>
    </row>
    <row r="3343">
      <c r="A3343" s="4" t="s">
        <v>6684</v>
      </c>
      <c r="B3343" s="4" t="s">
        <v>6685</v>
      </c>
    </row>
    <row r="3344">
      <c r="A3344" s="4" t="s">
        <v>6686</v>
      </c>
      <c r="B3344" s="4" t="s">
        <v>6687</v>
      </c>
    </row>
    <row r="3345">
      <c r="A3345" s="4" t="s">
        <v>6688</v>
      </c>
      <c r="B3345" s="4" t="s">
        <v>6689</v>
      </c>
    </row>
    <row r="3346">
      <c r="A3346" s="4" t="s">
        <v>6690</v>
      </c>
      <c r="B3346" s="4" t="s">
        <v>6691</v>
      </c>
    </row>
    <row r="3347">
      <c r="A3347" s="4" t="s">
        <v>6692</v>
      </c>
      <c r="B3347" s="4" t="s">
        <v>6693</v>
      </c>
    </row>
    <row r="3348">
      <c r="A3348" s="4" t="s">
        <v>6694</v>
      </c>
      <c r="B3348" s="4" t="s">
        <v>6695</v>
      </c>
    </row>
    <row r="3349">
      <c r="A3349" s="4" t="s">
        <v>6696</v>
      </c>
      <c r="B3349" s="4" t="s">
        <v>6697</v>
      </c>
    </row>
    <row r="3350">
      <c r="A3350" s="4" t="s">
        <v>6698</v>
      </c>
      <c r="B3350" s="4" t="s">
        <v>6699</v>
      </c>
    </row>
    <row r="3351">
      <c r="A3351" s="4" t="s">
        <v>6700</v>
      </c>
      <c r="B3351" s="4" t="s">
        <v>6701</v>
      </c>
    </row>
    <row r="3352">
      <c r="A3352" s="4" t="s">
        <v>6702</v>
      </c>
      <c r="B3352" s="4" t="s">
        <v>6703</v>
      </c>
    </row>
    <row r="3353">
      <c r="A3353" s="4" t="s">
        <v>6704</v>
      </c>
      <c r="B3353" s="4" t="s">
        <v>6705</v>
      </c>
    </row>
    <row r="3354">
      <c r="A3354" s="4" t="s">
        <v>6706</v>
      </c>
      <c r="B3354" s="4" t="s">
        <v>6707</v>
      </c>
    </row>
    <row r="3355">
      <c r="A3355" s="4" t="s">
        <v>6708</v>
      </c>
      <c r="B3355" s="4" t="s">
        <v>6709</v>
      </c>
    </row>
    <row r="3356">
      <c r="A3356" s="4" t="s">
        <v>6710</v>
      </c>
      <c r="B3356" s="4" t="s">
        <v>6711</v>
      </c>
    </row>
    <row r="3357">
      <c r="A3357" s="4" t="s">
        <v>6712</v>
      </c>
      <c r="B3357" s="4" t="s">
        <v>6713</v>
      </c>
    </row>
    <row r="3358">
      <c r="A3358" s="4" t="s">
        <v>6714</v>
      </c>
      <c r="B3358" s="4" t="s">
        <v>6715</v>
      </c>
    </row>
    <row r="3359">
      <c r="A3359" s="4" t="s">
        <v>6716</v>
      </c>
      <c r="B3359" s="4" t="s">
        <v>6717</v>
      </c>
    </row>
    <row r="3360">
      <c r="A3360" s="4" t="s">
        <v>6718</v>
      </c>
      <c r="B3360" s="4" t="s">
        <v>6719</v>
      </c>
    </row>
    <row r="3361">
      <c r="A3361" s="4" t="s">
        <v>6720</v>
      </c>
      <c r="B3361" s="4" t="s">
        <v>6721</v>
      </c>
    </row>
    <row r="3362">
      <c r="A3362" s="4" t="s">
        <v>6722</v>
      </c>
      <c r="B3362" s="4" t="s">
        <v>6723</v>
      </c>
    </row>
    <row r="3363">
      <c r="A3363" s="4" t="s">
        <v>6724</v>
      </c>
      <c r="B3363" s="4" t="s">
        <v>6725</v>
      </c>
    </row>
    <row r="3364">
      <c r="A3364" s="4" t="s">
        <v>6726</v>
      </c>
      <c r="B3364" s="4" t="s">
        <v>6727</v>
      </c>
    </row>
    <row r="3365">
      <c r="A3365" s="4" t="s">
        <v>6728</v>
      </c>
      <c r="B3365" s="4" t="s">
        <v>6729</v>
      </c>
    </row>
    <row r="3366">
      <c r="A3366" s="4" t="s">
        <v>6730</v>
      </c>
      <c r="B3366" s="4" t="s">
        <v>6731</v>
      </c>
    </row>
    <row r="3367">
      <c r="A3367" s="4" t="s">
        <v>6732</v>
      </c>
      <c r="B3367" s="4" t="s">
        <v>6733</v>
      </c>
    </row>
    <row r="3368">
      <c r="A3368" s="4" t="s">
        <v>6734</v>
      </c>
      <c r="B3368" s="4" t="s">
        <v>6735</v>
      </c>
    </row>
    <row r="3369">
      <c r="A3369" s="4" t="s">
        <v>6736</v>
      </c>
      <c r="B3369" s="4" t="s">
        <v>6737</v>
      </c>
    </row>
    <row r="3370">
      <c r="A3370" s="4" t="s">
        <v>6738</v>
      </c>
      <c r="B3370" s="4" t="s">
        <v>6739</v>
      </c>
    </row>
    <row r="3371">
      <c r="A3371" s="4" t="s">
        <v>6740</v>
      </c>
      <c r="B3371" s="4" t="s">
        <v>6741</v>
      </c>
    </row>
    <row r="3372">
      <c r="A3372" s="4" t="s">
        <v>6742</v>
      </c>
      <c r="B3372" s="4" t="s">
        <v>6743</v>
      </c>
    </row>
    <row r="3373">
      <c r="A3373" s="4" t="s">
        <v>6744</v>
      </c>
      <c r="B3373" s="4" t="s">
        <v>6745</v>
      </c>
    </row>
    <row r="3374">
      <c r="A3374" s="4" t="s">
        <v>6746</v>
      </c>
      <c r="B3374" s="4" t="s">
        <v>6747</v>
      </c>
    </row>
    <row r="3375">
      <c r="A3375" s="4" t="s">
        <v>6748</v>
      </c>
      <c r="B3375" s="4" t="s">
        <v>6749</v>
      </c>
    </row>
    <row r="3376">
      <c r="A3376" s="4" t="s">
        <v>6750</v>
      </c>
      <c r="B3376" s="4" t="s">
        <v>6751</v>
      </c>
    </row>
    <row r="3377">
      <c r="A3377" s="4" t="s">
        <v>6752</v>
      </c>
      <c r="B3377" s="4" t="s">
        <v>6753</v>
      </c>
    </row>
    <row r="3378">
      <c r="A3378" s="4" t="s">
        <v>6754</v>
      </c>
      <c r="B3378" s="4" t="s">
        <v>6755</v>
      </c>
    </row>
    <row r="3379">
      <c r="A3379" s="4" t="s">
        <v>6756</v>
      </c>
      <c r="B3379" s="4" t="s">
        <v>6757</v>
      </c>
    </row>
    <row r="3380">
      <c r="A3380" s="4" t="s">
        <v>6758</v>
      </c>
      <c r="B3380" s="4" t="s">
        <v>6759</v>
      </c>
    </row>
    <row r="3381">
      <c r="A3381" s="4" t="s">
        <v>6760</v>
      </c>
      <c r="B3381" s="4" t="s">
        <v>6761</v>
      </c>
    </row>
    <row r="3382">
      <c r="A3382" s="4" t="s">
        <v>6762</v>
      </c>
      <c r="B3382" s="4" t="s">
        <v>6763</v>
      </c>
    </row>
    <row r="3383">
      <c r="A3383" s="4" t="s">
        <v>6764</v>
      </c>
      <c r="B3383" s="4" t="s">
        <v>6765</v>
      </c>
    </row>
    <row r="3384">
      <c r="A3384" s="4" t="s">
        <v>6766</v>
      </c>
      <c r="B3384" s="4" t="s">
        <v>6767</v>
      </c>
    </row>
    <row r="3385">
      <c r="A3385" s="4" t="s">
        <v>6768</v>
      </c>
      <c r="B3385" s="4" t="s">
        <v>6769</v>
      </c>
    </row>
    <row r="3386">
      <c r="A3386" s="4" t="s">
        <v>6770</v>
      </c>
      <c r="B3386" s="4" t="s">
        <v>6771</v>
      </c>
    </row>
    <row r="3387">
      <c r="A3387" s="4" t="s">
        <v>6772</v>
      </c>
      <c r="B3387" s="4" t="s">
        <v>6773</v>
      </c>
    </row>
    <row r="3388">
      <c r="A3388" s="4" t="s">
        <v>6774</v>
      </c>
      <c r="B3388" s="4" t="s">
        <v>6775</v>
      </c>
    </row>
    <row r="3389">
      <c r="A3389" s="4" t="s">
        <v>6776</v>
      </c>
      <c r="B3389" s="4" t="s">
        <v>6777</v>
      </c>
    </row>
    <row r="3390">
      <c r="A3390" s="4" t="s">
        <v>6778</v>
      </c>
      <c r="B3390" s="4" t="s">
        <v>6779</v>
      </c>
    </row>
    <row r="3391">
      <c r="A3391" s="4" t="s">
        <v>6780</v>
      </c>
      <c r="B3391" s="4" t="s">
        <v>6781</v>
      </c>
    </row>
    <row r="3392">
      <c r="A3392" s="4" t="s">
        <v>6782</v>
      </c>
      <c r="B3392" s="4" t="s">
        <v>6783</v>
      </c>
    </row>
    <row r="3393">
      <c r="A3393" s="4" t="s">
        <v>6784</v>
      </c>
      <c r="B3393" s="4" t="s">
        <v>6785</v>
      </c>
    </row>
    <row r="3394">
      <c r="A3394" s="4" t="s">
        <v>6786</v>
      </c>
      <c r="B3394" s="4" t="s">
        <v>6787</v>
      </c>
    </row>
    <row r="3395">
      <c r="A3395" s="4" t="s">
        <v>6788</v>
      </c>
      <c r="B3395" s="4" t="s">
        <v>6789</v>
      </c>
    </row>
    <row r="3396">
      <c r="A3396" s="4" t="s">
        <v>6790</v>
      </c>
      <c r="B3396" s="4" t="s">
        <v>6791</v>
      </c>
    </row>
    <row r="3397">
      <c r="A3397" s="4" t="s">
        <v>6792</v>
      </c>
      <c r="B3397" s="4" t="s">
        <v>6793</v>
      </c>
    </row>
    <row r="3398">
      <c r="A3398" s="4" t="s">
        <v>6794</v>
      </c>
      <c r="B3398" s="4" t="s">
        <v>6795</v>
      </c>
    </row>
    <row r="3399">
      <c r="A3399" s="4" t="s">
        <v>6796</v>
      </c>
      <c r="B3399" s="4" t="s">
        <v>6797</v>
      </c>
    </row>
    <row r="3400">
      <c r="A3400" s="4" t="s">
        <v>6798</v>
      </c>
      <c r="B3400" s="4" t="s">
        <v>6799</v>
      </c>
    </row>
    <row r="3401">
      <c r="A3401" s="4" t="s">
        <v>6800</v>
      </c>
      <c r="B3401" s="4" t="s">
        <v>6801</v>
      </c>
    </row>
    <row r="3402">
      <c r="A3402" s="4" t="s">
        <v>6802</v>
      </c>
      <c r="B3402" s="4" t="s">
        <v>6803</v>
      </c>
    </row>
    <row r="3403">
      <c r="A3403" s="4" t="s">
        <v>6804</v>
      </c>
      <c r="B3403" s="4" t="s">
        <v>6805</v>
      </c>
    </row>
    <row r="3404">
      <c r="A3404" s="4" t="s">
        <v>6806</v>
      </c>
      <c r="B3404" s="4" t="s">
        <v>6807</v>
      </c>
    </row>
    <row r="3405">
      <c r="A3405" s="4" t="s">
        <v>6808</v>
      </c>
      <c r="B3405" s="4" t="s">
        <v>6809</v>
      </c>
    </row>
    <row r="3406">
      <c r="A3406" s="4" t="s">
        <v>6810</v>
      </c>
      <c r="B3406" s="4" t="s">
        <v>6811</v>
      </c>
    </row>
    <row r="3407">
      <c r="A3407" s="4" t="s">
        <v>6812</v>
      </c>
      <c r="B3407" s="4" t="s">
        <v>6813</v>
      </c>
    </row>
    <row r="3408">
      <c r="A3408" s="4" t="s">
        <v>6814</v>
      </c>
      <c r="B3408" s="4" t="s">
        <v>6815</v>
      </c>
    </row>
    <row r="3409">
      <c r="A3409" s="4" t="s">
        <v>6816</v>
      </c>
      <c r="B3409" s="4" t="s">
        <v>6817</v>
      </c>
    </row>
    <row r="3410">
      <c r="A3410" s="4" t="s">
        <v>6818</v>
      </c>
      <c r="B3410" s="4" t="s">
        <v>6819</v>
      </c>
    </row>
    <row r="3411">
      <c r="A3411" s="4" t="s">
        <v>6820</v>
      </c>
      <c r="B3411" s="4" t="s">
        <v>6821</v>
      </c>
    </row>
    <row r="3412">
      <c r="A3412" s="4" t="s">
        <v>6822</v>
      </c>
      <c r="B3412" s="4" t="s">
        <v>6823</v>
      </c>
    </row>
    <row r="3413">
      <c r="A3413" s="4" t="s">
        <v>6824</v>
      </c>
      <c r="B3413" s="4" t="s">
        <v>6825</v>
      </c>
    </row>
    <row r="3414">
      <c r="A3414" s="4" t="s">
        <v>6826</v>
      </c>
      <c r="B3414" s="4" t="s">
        <v>6827</v>
      </c>
    </row>
    <row r="3415">
      <c r="A3415" s="4" t="s">
        <v>6828</v>
      </c>
      <c r="B3415" s="4" t="s">
        <v>6829</v>
      </c>
    </row>
    <row r="3416">
      <c r="A3416" s="4" t="s">
        <v>6830</v>
      </c>
      <c r="B3416" s="4" t="s">
        <v>6831</v>
      </c>
    </row>
    <row r="3417">
      <c r="A3417" s="4" t="s">
        <v>6832</v>
      </c>
      <c r="B3417" s="4" t="s">
        <v>6833</v>
      </c>
    </row>
    <row r="3418">
      <c r="A3418" s="4" t="s">
        <v>6834</v>
      </c>
      <c r="B3418" s="4" t="s">
        <v>6835</v>
      </c>
    </row>
    <row r="3419">
      <c r="A3419" s="4" t="s">
        <v>6836</v>
      </c>
      <c r="B3419" s="4" t="s">
        <v>6837</v>
      </c>
    </row>
    <row r="3420">
      <c r="A3420" s="4" t="s">
        <v>6838</v>
      </c>
      <c r="B3420" s="4" t="s">
        <v>6839</v>
      </c>
    </row>
    <row r="3421">
      <c r="A3421" s="4" t="s">
        <v>6840</v>
      </c>
      <c r="B3421" s="4" t="s">
        <v>6841</v>
      </c>
    </row>
    <row r="3422">
      <c r="A3422" s="4" t="s">
        <v>6842</v>
      </c>
      <c r="B3422" s="4" t="s">
        <v>6843</v>
      </c>
    </row>
    <row r="3423">
      <c r="A3423" s="4" t="s">
        <v>6844</v>
      </c>
      <c r="B3423" s="4" t="s">
        <v>6845</v>
      </c>
    </row>
    <row r="3424">
      <c r="A3424" s="4" t="s">
        <v>6846</v>
      </c>
      <c r="B3424" s="4" t="s">
        <v>6847</v>
      </c>
    </row>
    <row r="3425">
      <c r="A3425" s="4" t="s">
        <v>6848</v>
      </c>
      <c r="B3425" s="4" t="s">
        <v>6849</v>
      </c>
    </row>
    <row r="3426">
      <c r="A3426" s="4" t="s">
        <v>6850</v>
      </c>
      <c r="B3426" s="4" t="s">
        <v>6851</v>
      </c>
    </row>
    <row r="3427">
      <c r="A3427" s="4" t="s">
        <v>6852</v>
      </c>
      <c r="B3427" s="4" t="s">
        <v>6853</v>
      </c>
    </row>
    <row r="3428">
      <c r="A3428" s="4" t="s">
        <v>6854</v>
      </c>
      <c r="B3428" s="4" t="s">
        <v>6855</v>
      </c>
    </row>
    <row r="3429">
      <c r="A3429" s="4" t="s">
        <v>6856</v>
      </c>
      <c r="B3429" s="4" t="s">
        <v>6857</v>
      </c>
    </row>
    <row r="3430">
      <c r="A3430" s="4" t="s">
        <v>6858</v>
      </c>
      <c r="B3430" s="4" t="s">
        <v>6859</v>
      </c>
    </row>
    <row r="3431">
      <c r="A3431" s="4" t="s">
        <v>6860</v>
      </c>
      <c r="B3431" s="4" t="s">
        <v>6861</v>
      </c>
    </row>
    <row r="3432">
      <c r="A3432" s="4" t="s">
        <v>6862</v>
      </c>
      <c r="B3432" s="4" t="s">
        <v>6863</v>
      </c>
    </row>
    <row r="3433">
      <c r="A3433" s="4" t="s">
        <v>6864</v>
      </c>
      <c r="B3433" s="4" t="s">
        <v>6865</v>
      </c>
    </row>
    <row r="3434">
      <c r="A3434" s="4" t="s">
        <v>6866</v>
      </c>
      <c r="B3434" s="4" t="s">
        <v>6867</v>
      </c>
    </row>
    <row r="3435">
      <c r="A3435" s="4" t="s">
        <v>6868</v>
      </c>
      <c r="B3435" s="4" t="s">
        <v>6869</v>
      </c>
    </row>
    <row r="3436">
      <c r="A3436" s="4" t="s">
        <v>6870</v>
      </c>
      <c r="B3436" s="4" t="s">
        <v>6871</v>
      </c>
    </row>
    <row r="3437">
      <c r="A3437" s="4" t="s">
        <v>6872</v>
      </c>
      <c r="B3437" s="4" t="s">
        <v>6873</v>
      </c>
    </row>
    <row r="3438">
      <c r="A3438" s="4" t="s">
        <v>6874</v>
      </c>
      <c r="B3438" s="4" t="s">
        <v>6875</v>
      </c>
    </row>
    <row r="3439">
      <c r="A3439" s="4" t="s">
        <v>6876</v>
      </c>
      <c r="B3439" s="4" t="s">
        <v>6877</v>
      </c>
    </row>
    <row r="3440">
      <c r="A3440" s="4" t="s">
        <v>6878</v>
      </c>
      <c r="B3440" s="4" t="s">
        <v>6879</v>
      </c>
    </row>
    <row r="3441">
      <c r="A3441" s="4" t="s">
        <v>6880</v>
      </c>
      <c r="B3441" s="4" t="s">
        <v>6881</v>
      </c>
    </row>
    <row r="3442">
      <c r="A3442" s="4" t="s">
        <v>6882</v>
      </c>
      <c r="B3442" s="4" t="s">
        <v>6883</v>
      </c>
    </row>
    <row r="3443">
      <c r="A3443" s="4" t="s">
        <v>6884</v>
      </c>
      <c r="B3443" s="4" t="s">
        <v>6885</v>
      </c>
    </row>
    <row r="3444">
      <c r="A3444" s="4" t="s">
        <v>6886</v>
      </c>
      <c r="B3444" s="4" t="s">
        <v>6887</v>
      </c>
    </row>
    <row r="3445">
      <c r="A3445" s="4" t="s">
        <v>6888</v>
      </c>
      <c r="B3445" s="4" t="s">
        <v>6889</v>
      </c>
    </row>
    <row r="3446">
      <c r="A3446" s="4" t="s">
        <v>6890</v>
      </c>
      <c r="B3446" s="4" t="s">
        <v>6891</v>
      </c>
    </row>
    <row r="3447">
      <c r="A3447" s="4" t="s">
        <v>6892</v>
      </c>
      <c r="B3447" s="4" t="s">
        <v>6893</v>
      </c>
    </row>
    <row r="3448">
      <c r="A3448" s="4" t="s">
        <v>6894</v>
      </c>
      <c r="B3448" s="4" t="s">
        <v>6895</v>
      </c>
    </row>
    <row r="3449">
      <c r="A3449" s="4" t="s">
        <v>6896</v>
      </c>
      <c r="B3449" s="4" t="s">
        <v>6897</v>
      </c>
    </row>
    <row r="3450">
      <c r="A3450" s="4" t="s">
        <v>6898</v>
      </c>
      <c r="B3450" s="4" t="s">
        <v>6899</v>
      </c>
    </row>
    <row r="3451">
      <c r="A3451" s="4" t="s">
        <v>6900</v>
      </c>
      <c r="B3451" s="4" t="s">
        <v>6901</v>
      </c>
    </row>
    <row r="3452">
      <c r="A3452" s="4" t="s">
        <v>6902</v>
      </c>
      <c r="B3452" s="4" t="s">
        <v>6903</v>
      </c>
    </row>
    <row r="3453">
      <c r="A3453" s="4" t="s">
        <v>6904</v>
      </c>
      <c r="B3453" s="4" t="s">
        <v>6905</v>
      </c>
    </row>
    <row r="3454">
      <c r="A3454" s="4" t="s">
        <v>6906</v>
      </c>
      <c r="B3454" s="4" t="s">
        <v>6907</v>
      </c>
    </row>
    <row r="3455">
      <c r="A3455" s="4" t="s">
        <v>6908</v>
      </c>
      <c r="B3455" s="4" t="s">
        <v>6909</v>
      </c>
    </row>
    <row r="3456">
      <c r="A3456" s="4" t="s">
        <v>6910</v>
      </c>
      <c r="B3456" s="4" t="s">
        <v>6911</v>
      </c>
    </row>
    <row r="3457">
      <c r="A3457" s="4" t="s">
        <v>6912</v>
      </c>
      <c r="B3457" s="4" t="s">
        <v>6913</v>
      </c>
    </row>
    <row r="3458">
      <c r="A3458" s="4" t="s">
        <v>6914</v>
      </c>
      <c r="B3458" s="4" t="s">
        <v>6915</v>
      </c>
    </row>
    <row r="3459">
      <c r="A3459" s="4" t="s">
        <v>6916</v>
      </c>
      <c r="B3459" s="4" t="s">
        <v>6917</v>
      </c>
    </row>
    <row r="3460">
      <c r="A3460" s="4" t="s">
        <v>6918</v>
      </c>
      <c r="B3460" s="4" t="s">
        <v>6919</v>
      </c>
    </row>
    <row r="3461">
      <c r="A3461" s="4" t="s">
        <v>6920</v>
      </c>
      <c r="B3461" s="4" t="s">
        <v>6921</v>
      </c>
    </row>
    <row r="3462">
      <c r="A3462" s="4" t="s">
        <v>6922</v>
      </c>
      <c r="B3462" s="4" t="s">
        <v>6923</v>
      </c>
    </row>
    <row r="3463">
      <c r="A3463" s="4" t="s">
        <v>6924</v>
      </c>
      <c r="B3463" s="4" t="s">
        <v>6925</v>
      </c>
    </row>
    <row r="3464">
      <c r="A3464" s="4" t="s">
        <v>6926</v>
      </c>
      <c r="B3464" s="4" t="s">
        <v>6927</v>
      </c>
    </row>
    <row r="3465">
      <c r="A3465" s="4" t="s">
        <v>6928</v>
      </c>
      <c r="B3465" s="4" t="s">
        <v>6929</v>
      </c>
    </row>
    <row r="3466">
      <c r="A3466" s="4" t="s">
        <v>6930</v>
      </c>
      <c r="B3466" s="4" t="s">
        <v>6931</v>
      </c>
    </row>
    <row r="3467">
      <c r="A3467" s="4" t="s">
        <v>6932</v>
      </c>
      <c r="B3467" s="4" t="s">
        <v>6933</v>
      </c>
    </row>
    <row r="3468">
      <c r="A3468" s="4" t="s">
        <v>6934</v>
      </c>
      <c r="B3468" s="4" t="s">
        <v>6935</v>
      </c>
    </row>
    <row r="3469">
      <c r="A3469" s="4" t="s">
        <v>6936</v>
      </c>
      <c r="B3469" s="4" t="s">
        <v>6937</v>
      </c>
    </row>
    <row r="3470">
      <c r="A3470" s="4" t="s">
        <v>6938</v>
      </c>
      <c r="B3470" s="4" t="s">
        <v>6939</v>
      </c>
    </row>
    <row r="3471">
      <c r="A3471" s="4" t="s">
        <v>6940</v>
      </c>
      <c r="B3471" s="4" t="s">
        <v>6941</v>
      </c>
    </row>
    <row r="3472">
      <c r="A3472" s="4" t="s">
        <v>6942</v>
      </c>
      <c r="B3472" s="4" t="s">
        <v>6943</v>
      </c>
    </row>
    <row r="3473">
      <c r="A3473" s="4" t="s">
        <v>6944</v>
      </c>
      <c r="B3473" s="4" t="s">
        <v>6945</v>
      </c>
    </row>
    <row r="3474">
      <c r="A3474" s="4" t="s">
        <v>6946</v>
      </c>
      <c r="B3474" s="4" t="s">
        <v>6947</v>
      </c>
    </row>
    <row r="3475">
      <c r="A3475" s="4" t="s">
        <v>6948</v>
      </c>
      <c r="B3475" s="4" t="s">
        <v>6949</v>
      </c>
    </row>
    <row r="3476">
      <c r="A3476" s="4" t="s">
        <v>6950</v>
      </c>
      <c r="B3476" s="4" t="s">
        <v>6951</v>
      </c>
    </row>
    <row r="3477">
      <c r="A3477" s="4" t="s">
        <v>6952</v>
      </c>
      <c r="B3477" s="4" t="s">
        <v>6953</v>
      </c>
    </row>
    <row r="3478">
      <c r="A3478" s="4" t="s">
        <v>6954</v>
      </c>
      <c r="B3478" s="4" t="s">
        <v>6955</v>
      </c>
    </row>
    <row r="3479">
      <c r="A3479" s="4" t="s">
        <v>6956</v>
      </c>
      <c r="B3479" s="4" t="s">
        <v>6957</v>
      </c>
    </row>
    <row r="3480">
      <c r="A3480" s="4" t="s">
        <v>6958</v>
      </c>
      <c r="B3480" s="4" t="s">
        <v>6959</v>
      </c>
    </row>
    <row r="3481">
      <c r="A3481" s="4" t="s">
        <v>6960</v>
      </c>
      <c r="B3481" s="4" t="s">
        <v>6961</v>
      </c>
    </row>
    <row r="3482">
      <c r="A3482" s="4" t="s">
        <v>6962</v>
      </c>
      <c r="B3482" s="4" t="s">
        <v>6963</v>
      </c>
    </row>
    <row r="3483">
      <c r="A3483" s="4" t="s">
        <v>6964</v>
      </c>
      <c r="B3483" s="4" t="s">
        <v>6965</v>
      </c>
    </row>
    <row r="3484">
      <c r="A3484" s="4" t="s">
        <v>6966</v>
      </c>
      <c r="B3484" s="4" t="s">
        <v>6967</v>
      </c>
    </row>
    <row r="3485">
      <c r="A3485" s="4" t="s">
        <v>6968</v>
      </c>
      <c r="B3485" s="4" t="s">
        <v>6969</v>
      </c>
    </row>
    <row r="3486">
      <c r="A3486" s="4" t="s">
        <v>6970</v>
      </c>
      <c r="B3486" s="4" t="s">
        <v>6971</v>
      </c>
    </row>
    <row r="3487">
      <c r="A3487" s="4" t="s">
        <v>6972</v>
      </c>
      <c r="B3487" s="4" t="s">
        <v>6973</v>
      </c>
    </row>
    <row r="3488">
      <c r="A3488" s="4" t="s">
        <v>6974</v>
      </c>
      <c r="B3488" s="4" t="s">
        <v>6975</v>
      </c>
    </row>
    <row r="3489">
      <c r="A3489" s="4" t="s">
        <v>6976</v>
      </c>
      <c r="B3489" s="4" t="s">
        <v>6977</v>
      </c>
    </row>
    <row r="3490">
      <c r="A3490" s="4" t="s">
        <v>6978</v>
      </c>
      <c r="B3490" s="4" t="s">
        <v>6979</v>
      </c>
    </row>
    <row r="3491">
      <c r="A3491" s="4" t="s">
        <v>6980</v>
      </c>
      <c r="B3491" s="4" t="s">
        <v>6981</v>
      </c>
    </row>
    <row r="3492">
      <c r="A3492" s="4" t="s">
        <v>6982</v>
      </c>
      <c r="B3492" s="4" t="s">
        <v>6983</v>
      </c>
    </row>
    <row r="3493">
      <c r="A3493" s="4" t="s">
        <v>6984</v>
      </c>
      <c r="B3493" s="4" t="s">
        <v>6985</v>
      </c>
    </row>
    <row r="3494">
      <c r="A3494" s="4" t="s">
        <v>6986</v>
      </c>
      <c r="B3494" s="4" t="s">
        <v>6987</v>
      </c>
    </row>
    <row r="3495">
      <c r="A3495" s="4" t="s">
        <v>6988</v>
      </c>
      <c r="B3495" s="4" t="s">
        <v>6989</v>
      </c>
    </row>
    <row r="3496">
      <c r="A3496" s="4" t="s">
        <v>6990</v>
      </c>
      <c r="B3496" s="4" t="s">
        <v>6991</v>
      </c>
    </row>
    <row r="3497">
      <c r="A3497" s="4" t="s">
        <v>6992</v>
      </c>
      <c r="B3497" s="4" t="s">
        <v>6993</v>
      </c>
    </row>
    <row r="3498">
      <c r="A3498" s="4" t="s">
        <v>6994</v>
      </c>
      <c r="B3498" s="4" t="s">
        <v>6995</v>
      </c>
    </row>
    <row r="3499">
      <c r="A3499" s="4" t="s">
        <v>6996</v>
      </c>
      <c r="B3499" s="4" t="s">
        <v>6997</v>
      </c>
    </row>
    <row r="3500">
      <c r="A3500" s="4" t="s">
        <v>6998</v>
      </c>
      <c r="B3500" s="4" t="s">
        <v>6999</v>
      </c>
    </row>
    <row r="3501">
      <c r="A3501" s="4" t="s">
        <v>7000</v>
      </c>
      <c r="B3501" s="4" t="s">
        <v>7001</v>
      </c>
    </row>
    <row r="3502">
      <c r="A3502" s="4" t="s">
        <v>7002</v>
      </c>
      <c r="B3502" s="4" t="s">
        <v>7003</v>
      </c>
    </row>
    <row r="3503">
      <c r="A3503" s="4" t="s">
        <v>7004</v>
      </c>
      <c r="B3503" s="4" t="s">
        <v>7005</v>
      </c>
    </row>
    <row r="3504">
      <c r="A3504" s="4" t="s">
        <v>7006</v>
      </c>
      <c r="B3504" s="4" t="s">
        <v>7007</v>
      </c>
    </row>
    <row r="3505">
      <c r="A3505" s="4" t="s">
        <v>7008</v>
      </c>
      <c r="B3505" s="4" t="s">
        <v>7009</v>
      </c>
    </row>
    <row r="3506">
      <c r="A3506" s="4" t="s">
        <v>7010</v>
      </c>
      <c r="B3506" s="4" t="s">
        <v>7011</v>
      </c>
    </row>
    <row r="3507">
      <c r="A3507" s="4" t="s">
        <v>7012</v>
      </c>
      <c r="B3507" s="4" t="s">
        <v>7013</v>
      </c>
    </row>
    <row r="3508">
      <c r="A3508" s="4" t="s">
        <v>7014</v>
      </c>
      <c r="B3508" s="4" t="s">
        <v>7015</v>
      </c>
    </row>
    <row r="3509">
      <c r="A3509" s="4" t="s">
        <v>7016</v>
      </c>
      <c r="B3509" s="4" t="s">
        <v>7017</v>
      </c>
    </row>
    <row r="3510">
      <c r="A3510" s="4" t="s">
        <v>7018</v>
      </c>
      <c r="B3510" s="4" t="s">
        <v>7019</v>
      </c>
    </row>
    <row r="3511">
      <c r="A3511" s="4" t="s">
        <v>7020</v>
      </c>
      <c r="B3511" s="4" t="s">
        <v>7021</v>
      </c>
    </row>
    <row r="3512">
      <c r="A3512" s="4" t="s">
        <v>7022</v>
      </c>
      <c r="B3512" s="4" t="s">
        <v>7023</v>
      </c>
    </row>
    <row r="3513">
      <c r="A3513" s="4" t="s">
        <v>7024</v>
      </c>
      <c r="B3513" s="4" t="s">
        <v>7025</v>
      </c>
    </row>
    <row r="3514">
      <c r="A3514" s="4" t="s">
        <v>7026</v>
      </c>
      <c r="B3514" s="4" t="s">
        <v>7027</v>
      </c>
    </row>
    <row r="3515">
      <c r="A3515" s="4" t="s">
        <v>7028</v>
      </c>
      <c r="B3515" s="4" t="s">
        <v>7029</v>
      </c>
    </row>
    <row r="3516">
      <c r="A3516" s="4" t="s">
        <v>7030</v>
      </c>
      <c r="B3516" s="4" t="s">
        <v>7031</v>
      </c>
    </row>
    <row r="3517">
      <c r="A3517" s="4" t="s">
        <v>7032</v>
      </c>
      <c r="B3517" s="4" t="s">
        <v>7033</v>
      </c>
    </row>
    <row r="3518">
      <c r="A3518" s="4" t="s">
        <v>7034</v>
      </c>
      <c r="B3518" s="4" t="s">
        <v>7035</v>
      </c>
    </row>
    <row r="3519">
      <c r="A3519" s="4" t="s">
        <v>7036</v>
      </c>
      <c r="B3519" s="4" t="s">
        <v>7037</v>
      </c>
    </row>
    <row r="3520">
      <c r="A3520" s="4" t="s">
        <v>7038</v>
      </c>
      <c r="B3520" s="4" t="s">
        <v>7039</v>
      </c>
    </row>
    <row r="3521">
      <c r="A3521" s="4" t="s">
        <v>7040</v>
      </c>
      <c r="B3521" s="4" t="s">
        <v>7041</v>
      </c>
    </row>
    <row r="3522">
      <c r="A3522" s="4" t="s">
        <v>7042</v>
      </c>
      <c r="B3522" s="4" t="s">
        <v>7043</v>
      </c>
    </row>
    <row r="3523">
      <c r="A3523" s="4" t="s">
        <v>7044</v>
      </c>
      <c r="B3523" s="4" t="s">
        <v>7045</v>
      </c>
    </row>
    <row r="3524">
      <c r="A3524" s="4" t="s">
        <v>7046</v>
      </c>
      <c r="B3524" s="4" t="s">
        <v>7047</v>
      </c>
    </row>
    <row r="3525">
      <c r="A3525" s="4" t="s">
        <v>7048</v>
      </c>
      <c r="B3525" s="4" t="s">
        <v>7049</v>
      </c>
    </row>
    <row r="3526">
      <c r="A3526" s="4" t="s">
        <v>7050</v>
      </c>
      <c r="B3526" s="4" t="s">
        <v>7051</v>
      </c>
    </row>
    <row r="3527">
      <c r="A3527" s="4" t="s">
        <v>7052</v>
      </c>
      <c r="B3527" s="4" t="s">
        <v>7053</v>
      </c>
    </row>
    <row r="3528">
      <c r="A3528" s="4" t="s">
        <v>7054</v>
      </c>
      <c r="B3528" s="4" t="s">
        <v>7055</v>
      </c>
    </row>
    <row r="3529">
      <c r="A3529" s="4" t="s">
        <v>7056</v>
      </c>
      <c r="B3529" s="4" t="s">
        <v>7057</v>
      </c>
    </row>
    <row r="3530">
      <c r="A3530" s="4" t="s">
        <v>7058</v>
      </c>
      <c r="B3530" s="4" t="s">
        <v>7059</v>
      </c>
    </row>
    <row r="3531">
      <c r="A3531" s="4" t="s">
        <v>7060</v>
      </c>
      <c r="B3531" s="4" t="s">
        <v>7061</v>
      </c>
    </row>
    <row r="3532">
      <c r="A3532" s="4" t="s">
        <v>7062</v>
      </c>
      <c r="B3532" s="4" t="s">
        <v>7063</v>
      </c>
    </row>
    <row r="3533">
      <c r="A3533" s="4" t="s">
        <v>7064</v>
      </c>
      <c r="B3533" s="4" t="s">
        <v>7065</v>
      </c>
    </row>
    <row r="3534">
      <c r="A3534" s="4" t="s">
        <v>7066</v>
      </c>
      <c r="B3534" s="4" t="s">
        <v>7067</v>
      </c>
    </row>
    <row r="3535">
      <c r="A3535" s="4" t="s">
        <v>7068</v>
      </c>
      <c r="B3535" s="4" t="s">
        <v>7069</v>
      </c>
    </row>
    <row r="3536">
      <c r="A3536" s="4" t="s">
        <v>7070</v>
      </c>
      <c r="B3536" s="4" t="s">
        <v>7071</v>
      </c>
    </row>
    <row r="3537">
      <c r="A3537" s="4" t="s">
        <v>7072</v>
      </c>
      <c r="B3537" s="4" t="s">
        <v>7073</v>
      </c>
    </row>
    <row r="3538">
      <c r="A3538" s="4" t="s">
        <v>7074</v>
      </c>
      <c r="B3538" s="4" t="s">
        <v>7075</v>
      </c>
    </row>
    <row r="3539">
      <c r="A3539" s="4" t="s">
        <v>7076</v>
      </c>
      <c r="B3539" s="4" t="s">
        <v>7077</v>
      </c>
    </row>
    <row r="3540">
      <c r="A3540" s="4" t="s">
        <v>7078</v>
      </c>
      <c r="B3540" s="4" t="s">
        <v>7079</v>
      </c>
    </row>
    <row r="3541">
      <c r="A3541" s="4" t="s">
        <v>7080</v>
      </c>
      <c r="B3541" s="4" t="s">
        <v>7081</v>
      </c>
    </row>
    <row r="3542">
      <c r="A3542" s="4" t="s">
        <v>7082</v>
      </c>
      <c r="B3542" s="4" t="s">
        <v>7083</v>
      </c>
    </row>
    <row r="3543">
      <c r="A3543" s="4" t="s">
        <v>7084</v>
      </c>
      <c r="B3543" s="4" t="s">
        <v>7085</v>
      </c>
    </row>
    <row r="3544">
      <c r="A3544" s="4" t="s">
        <v>7086</v>
      </c>
      <c r="B3544" s="4" t="s">
        <v>7087</v>
      </c>
    </row>
    <row r="3545">
      <c r="A3545" s="4" t="s">
        <v>7088</v>
      </c>
      <c r="B3545" s="4" t="s">
        <v>7089</v>
      </c>
    </row>
    <row r="3546">
      <c r="A3546" s="4" t="s">
        <v>7090</v>
      </c>
      <c r="B3546" s="4" t="s">
        <v>7091</v>
      </c>
    </row>
    <row r="3547">
      <c r="A3547" s="4" t="s">
        <v>7092</v>
      </c>
      <c r="B3547" s="4" t="s">
        <v>7093</v>
      </c>
    </row>
    <row r="3548">
      <c r="A3548" s="4" t="s">
        <v>7094</v>
      </c>
      <c r="B3548" s="4" t="s">
        <v>7095</v>
      </c>
    </row>
    <row r="3549">
      <c r="A3549" s="4" t="s">
        <v>7096</v>
      </c>
      <c r="B3549" s="4" t="s">
        <v>7097</v>
      </c>
    </row>
    <row r="3550">
      <c r="A3550" s="4" t="s">
        <v>7098</v>
      </c>
      <c r="B3550" s="4" t="s">
        <v>7099</v>
      </c>
    </row>
    <row r="3551">
      <c r="A3551" s="4" t="s">
        <v>7100</v>
      </c>
      <c r="B3551" s="4" t="s">
        <v>7101</v>
      </c>
    </row>
    <row r="3552">
      <c r="A3552" s="4" t="s">
        <v>7102</v>
      </c>
      <c r="B3552" s="4" t="s">
        <v>7103</v>
      </c>
    </row>
    <row r="3553">
      <c r="A3553" s="4" t="s">
        <v>7104</v>
      </c>
      <c r="B3553" s="4" t="s">
        <v>7105</v>
      </c>
    </row>
    <row r="3554">
      <c r="A3554" s="4" t="s">
        <v>7106</v>
      </c>
      <c r="B3554" s="4" t="s">
        <v>7107</v>
      </c>
    </row>
    <row r="3555">
      <c r="A3555" s="4" t="s">
        <v>7108</v>
      </c>
      <c r="B3555" s="4" t="s">
        <v>7109</v>
      </c>
    </row>
    <row r="3556">
      <c r="A3556" s="4" t="s">
        <v>7110</v>
      </c>
      <c r="B3556" s="4" t="s">
        <v>7111</v>
      </c>
    </row>
    <row r="3557">
      <c r="A3557" s="4" t="s">
        <v>7112</v>
      </c>
      <c r="B3557" s="4" t="s">
        <v>7113</v>
      </c>
    </row>
    <row r="3558">
      <c r="A3558" s="4" t="s">
        <v>7114</v>
      </c>
      <c r="B3558" s="4" t="s">
        <v>7115</v>
      </c>
    </row>
    <row r="3559">
      <c r="A3559" s="4" t="s">
        <v>7116</v>
      </c>
      <c r="B3559" s="4" t="s">
        <v>7117</v>
      </c>
    </row>
    <row r="3560">
      <c r="A3560" s="4" t="s">
        <v>7118</v>
      </c>
      <c r="B3560" s="4" t="s">
        <v>7119</v>
      </c>
    </row>
    <row r="3561">
      <c r="A3561" s="4" t="s">
        <v>7120</v>
      </c>
      <c r="B3561" s="4" t="s">
        <v>7121</v>
      </c>
    </row>
    <row r="3562">
      <c r="A3562" s="4" t="s">
        <v>7122</v>
      </c>
      <c r="B3562" s="4" t="s">
        <v>7123</v>
      </c>
    </row>
    <row r="3563">
      <c r="A3563" s="4" t="s">
        <v>7124</v>
      </c>
      <c r="B3563" s="4" t="s">
        <v>7125</v>
      </c>
    </row>
    <row r="3564">
      <c r="A3564" s="4" t="s">
        <v>7126</v>
      </c>
      <c r="B3564" s="4" t="s">
        <v>7127</v>
      </c>
    </row>
    <row r="3565">
      <c r="A3565" s="4" t="s">
        <v>7128</v>
      </c>
      <c r="B3565" s="4" t="s">
        <v>7129</v>
      </c>
    </row>
    <row r="3566">
      <c r="A3566" s="4" t="s">
        <v>7130</v>
      </c>
      <c r="B3566" s="4" t="s">
        <v>7131</v>
      </c>
    </row>
    <row r="3567">
      <c r="A3567" s="4" t="s">
        <v>7132</v>
      </c>
      <c r="B3567" s="4" t="s">
        <v>7133</v>
      </c>
    </row>
    <row r="3568">
      <c r="A3568" s="4" t="s">
        <v>7134</v>
      </c>
      <c r="B3568" s="4" t="s">
        <v>7135</v>
      </c>
    </row>
    <row r="3569">
      <c r="A3569" s="4" t="s">
        <v>7136</v>
      </c>
      <c r="B3569" s="4" t="s">
        <v>7137</v>
      </c>
    </row>
    <row r="3570">
      <c r="A3570" s="4" t="s">
        <v>7138</v>
      </c>
      <c r="B3570" s="4" t="s">
        <v>7139</v>
      </c>
    </row>
    <row r="3571">
      <c r="A3571" s="4" t="s">
        <v>7140</v>
      </c>
      <c r="B3571" s="4" t="s">
        <v>7141</v>
      </c>
    </row>
    <row r="3572">
      <c r="A3572" s="4" t="s">
        <v>7142</v>
      </c>
      <c r="B3572" s="4" t="s">
        <v>7143</v>
      </c>
    </row>
    <row r="3573">
      <c r="A3573" s="4" t="s">
        <v>7144</v>
      </c>
      <c r="B3573" s="4" t="s">
        <v>7145</v>
      </c>
    </row>
    <row r="3574">
      <c r="A3574" s="4" t="s">
        <v>7146</v>
      </c>
      <c r="B3574" s="4" t="s">
        <v>7147</v>
      </c>
    </row>
    <row r="3575">
      <c r="A3575" s="4" t="s">
        <v>7148</v>
      </c>
      <c r="B3575" s="4" t="s">
        <v>7149</v>
      </c>
    </row>
    <row r="3576">
      <c r="A3576" s="4" t="s">
        <v>7150</v>
      </c>
      <c r="B3576" s="4" t="s">
        <v>7151</v>
      </c>
    </row>
    <row r="3577">
      <c r="A3577" s="4" t="s">
        <v>7152</v>
      </c>
      <c r="B3577" s="4" t="s">
        <v>7153</v>
      </c>
    </row>
    <row r="3578">
      <c r="A3578" s="4" t="s">
        <v>7154</v>
      </c>
      <c r="B3578" s="4" t="s">
        <v>7155</v>
      </c>
    </row>
    <row r="3579">
      <c r="A3579" s="4" t="s">
        <v>7156</v>
      </c>
      <c r="B3579" s="4" t="s">
        <v>7157</v>
      </c>
    </row>
    <row r="3580">
      <c r="A3580" s="4" t="s">
        <v>7158</v>
      </c>
      <c r="B3580" s="4" t="s">
        <v>7159</v>
      </c>
    </row>
    <row r="3581">
      <c r="A3581" s="4" t="s">
        <v>7160</v>
      </c>
      <c r="B3581" s="4" t="s">
        <v>7161</v>
      </c>
    </row>
    <row r="3582">
      <c r="A3582" s="4" t="s">
        <v>7162</v>
      </c>
      <c r="B3582" s="4" t="s">
        <v>7163</v>
      </c>
    </row>
    <row r="3583">
      <c r="A3583" s="4" t="s">
        <v>7164</v>
      </c>
      <c r="B3583" s="4" t="s">
        <v>7165</v>
      </c>
    </row>
    <row r="3584">
      <c r="A3584" s="4" t="s">
        <v>7166</v>
      </c>
      <c r="B3584" s="4" t="s">
        <v>7167</v>
      </c>
    </row>
    <row r="3585">
      <c r="A3585" s="4" t="s">
        <v>7168</v>
      </c>
      <c r="B3585" s="4" t="s">
        <v>7169</v>
      </c>
    </row>
    <row r="3586">
      <c r="A3586" s="4" t="s">
        <v>7170</v>
      </c>
      <c r="B3586" s="4" t="s">
        <v>7171</v>
      </c>
    </row>
    <row r="3587">
      <c r="A3587" s="4" t="s">
        <v>7172</v>
      </c>
      <c r="B3587" s="4" t="s">
        <v>7173</v>
      </c>
    </row>
    <row r="3588">
      <c r="A3588" s="4" t="s">
        <v>7174</v>
      </c>
      <c r="B3588" s="4" t="s">
        <v>7175</v>
      </c>
    </row>
    <row r="3589">
      <c r="A3589" s="4" t="s">
        <v>7176</v>
      </c>
      <c r="B3589" s="4" t="s">
        <v>7177</v>
      </c>
    </row>
    <row r="3590">
      <c r="A3590" s="4" t="s">
        <v>7178</v>
      </c>
      <c r="B3590" s="4" t="s">
        <v>7179</v>
      </c>
    </row>
    <row r="3591">
      <c r="A3591" s="4" t="s">
        <v>7180</v>
      </c>
      <c r="B3591" s="4" t="s">
        <v>7181</v>
      </c>
    </row>
    <row r="3592">
      <c r="A3592" s="4" t="s">
        <v>7182</v>
      </c>
      <c r="B3592" s="4" t="s">
        <v>7183</v>
      </c>
    </row>
    <row r="3593">
      <c r="A3593" s="4" t="s">
        <v>7184</v>
      </c>
      <c r="B3593" s="4" t="s">
        <v>7185</v>
      </c>
    </row>
    <row r="3594">
      <c r="A3594" s="4" t="s">
        <v>7186</v>
      </c>
      <c r="B3594" s="4" t="s">
        <v>7187</v>
      </c>
    </row>
    <row r="3595">
      <c r="A3595" s="4" t="s">
        <v>7188</v>
      </c>
      <c r="B3595" s="4" t="s">
        <v>7189</v>
      </c>
    </row>
    <row r="3596">
      <c r="A3596" s="4" t="s">
        <v>7190</v>
      </c>
      <c r="B3596" s="4" t="s">
        <v>7191</v>
      </c>
    </row>
    <row r="3597">
      <c r="A3597" s="4" t="s">
        <v>7192</v>
      </c>
      <c r="B3597" s="4" t="s">
        <v>7193</v>
      </c>
    </row>
    <row r="3598">
      <c r="A3598" s="4" t="s">
        <v>7194</v>
      </c>
      <c r="B3598" s="4" t="s">
        <v>7195</v>
      </c>
    </row>
    <row r="3599">
      <c r="A3599" s="4" t="s">
        <v>7196</v>
      </c>
      <c r="B3599" s="4" t="s">
        <v>7197</v>
      </c>
    </row>
    <row r="3600">
      <c r="A3600" s="4" t="s">
        <v>7198</v>
      </c>
      <c r="B3600" s="4" t="s">
        <v>7199</v>
      </c>
    </row>
    <row r="3601">
      <c r="A3601" s="4" t="s">
        <v>7200</v>
      </c>
      <c r="B3601" s="4" t="s">
        <v>7201</v>
      </c>
    </row>
    <row r="3602">
      <c r="A3602" s="4" t="s">
        <v>7202</v>
      </c>
      <c r="B3602" s="4" t="s">
        <v>7203</v>
      </c>
    </row>
    <row r="3603">
      <c r="A3603" s="4" t="s">
        <v>7204</v>
      </c>
      <c r="B3603" s="4" t="s">
        <v>7205</v>
      </c>
    </row>
    <row r="3604">
      <c r="A3604" s="4" t="s">
        <v>7206</v>
      </c>
      <c r="B3604" s="4" t="s">
        <v>7207</v>
      </c>
    </row>
    <row r="3605">
      <c r="A3605" s="4" t="s">
        <v>7208</v>
      </c>
      <c r="B3605" s="4" t="s">
        <v>7209</v>
      </c>
    </row>
    <row r="3606">
      <c r="A3606" s="4" t="s">
        <v>7210</v>
      </c>
      <c r="B3606" s="4" t="s">
        <v>7211</v>
      </c>
    </row>
    <row r="3607">
      <c r="A3607" s="4" t="s">
        <v>7212</v>
      </c>
      <c r="B3607" s="4" t="s">
        <v>7213</v>
      </c>
    </row>
    <row r="3608">
      <c r="A3608" s="4" t="s">
        <v>7214</v>
      </c>
      <c r="B3608" s="4" t="s">
        <v>7215</v>
      </c>
    </row>
    <row r="3609">
      <c r="A3609" s="4" t="s">
        <v>7216</v>
      </c>
      <c r="B3609" s="4" t="s">
        <v>7217</v>
      </c>
    </row>
    <row r="3610">
      <c r="A3610" s="4" t="s">
        <v>7218</v>
      </c>
      <c r="B3610" s="4" t="s">
        <v>7219</v>
      </c>
    </row>
    <row r="3611">
      <c r="A3611" s="4" t="s">
        <v>7220</v>
      </c>
      <c r="B3611" s="4" t="s">
        <v>7221</v>
      </c>
    </row>
    <row r="3612">
      <c r="A3612" s="4" t="s">
        <v>7222</v>
      </c>
      <c r="B3612" s="4" t="s">
        <v>7223</v>
      </c>
    </row>
    <row r="3613">
      <c r="A3613" s="4" t="s">
        <v>7224</v>
      </c>
      <c r="B3613" s="4" t="s">
        <v>7225</v>
      </c>
    </row>
    <row r="3614">
      <c r="A3614" s="4" t="s">
        <v>7226</v>
      </c>
      <c r="B3614" s="4" t="s">
        <v>7227</v>
      </c>
    </row>
    <row r="3615">
      <c r="A3615" s="4" t="s">
        <v>7228</v>
      </c>
      <c r="B3615" s="4" t="s">
        <v>7229</v>
      </c>
    </row>
    <row r="3616">
      <c r="A3616" s="4" t="s">
        <v>7230</v>
      </c>
      <c r="B3616" s="4" t="s">
        <v>7231</v>
      </c>
    </row>
    <row r="3617">
      <c r="A3617" s="4" t="s">
        <v>7232</v>
      </c>
      <c r="B3617" s="4" t="s">
        <v>7233</v>
      </c>
    </row>
    <row r="3618">
      <c r="A3618" s="4" t="s">
        <v>7234</v>
      </c>
      <c r="B3618" s="4" t="s">
        <v>7235</v>
      </c>
    </row>
    <row r="3619">
      <c r="A3619" s="4" t="s">
        <v>7236</v>
      </c>
      <c r="B3619" s="4" t="s">
        <v>7237</v>
      </c>
    </row>
    <row r="3620">
      <c r="A3620" s="4" t="s">
        <v>7238</v>
      </c>
      <c r="B3620" s="4" t="s">
        <v>7239</v>
      </c>
    </row>
    <row r="3621">
      <c r="A3621" s="4" t="s">
        <v>7240</v>
      </c>
      <c r="B3621" s="4" t="s">
        <v>7241</v>
      </c>
    </row>
    <row r="3622">
      <c r="A3622" s="4" t="s">
        <v>7242</v>
      </c>
      <c r="B3622" s="4" t="s">
        <v>7243</v>
      </c>
    </row>
    <row r="3623">
      <c r="A3623" s="4" t="s">
        <v>7244</v>
      </c>
      <c r="B3623" s="4" t="s">
        <v>7245</v>
      </c>
    </row>
    <row r="3624">
      <c r="A3624" s="4" t="s">
        <v>7246</v>
      </c>
      <c r="B3624" s="4" t="s">
        <v>7247</v>
      </c>
    </row>
    <row r="3625">
      <c r="A3625" s="4" t="s">
        <v>7248</v>
      </c>
      <c r="B3625" s="4" t="s">
        <v>7249</v>
      </c>
    </row>
    <row r="3626">
      <c r="A3626" s="4" t="s">
        <v>7250</v>
      </c>
      <c r="B3626" s="4" t="s">
        <v>7251</v>
      </c>
    </row>
    <row r="3627">
      <c r="A3627" s="4" t="s">
        <v>7252</v>
      </c>
      <c r="B3627" s="4" t="s">
        <v>7253</v>
      </c>
    </row>
    <row r="3628">
      <c r="A3628" s="4" t="s">
        <v>7254</v>
      </c>
      <c r="B3628" s="4" t="s">
        <v>7255</v>
      </c>
    </row>
    <row r="3629">
      <c r="A3629" s="4" t="s">
        <v>7256</v>
      </c>
      <c r="B3629" s="4" t="s">
        <v>7257</v>
      </c>
    </row>
    <row r="3630">
      <c r="A3630" s="4" t="s">
        <v>7258</v>
      </c>
      <c r="B3630" s="4" t="s">
        <v>7259</v>
      </c>
    </row>
    <row r="3631">
      <c r="A3631" s="4" t="s">
        <v>7260</v>
      </c>
      <c r="B3631" s="4" t="s">
        <v>7261</v>
      </c>
    </row>
    <row r="3632">
      <c r="A3632" s="4" t="s">
        <v>7262</v>
      </c>
      <c r="B3632" s="4" t="s">
        <v>7263</v>
      </c>
    </row>
    <row r="3633">
      <c r="A3633" s="4" t="s">
        <v>7264</v>
      </c>
      <c r="B3633" s="4" t="s">
        <v>7265</v>
      </c>
    </row>
    <row r="3634">
      <c r="A3634" s="4" t="s">
        <v>7266</v>
      </c>
      <c r="B3634" s="4" t="s">
        <v>7267</v>
      </c>
    </row>
    <row r="3635">
      <c r="A3635" s="4" t="s">
        <v>7268</v>
      </c>
      <c r="B3635" s="4" t="s">
        <v>7269</v>
      </c>
    </row>
    <row r="3636">
      <c r="A3636" s="4" t="s">
        <v>7270</v>
      </c>
      <c r="B3636" s="4" t="s">
        <v>7271</v>
      </c>
    </row>
    <row r="3637">
      <c r="A3637" s="4" t="s">
        <v>7272</v>
      </c>
      <c r="B3637" s="4" t="s">
        <v>7273</v>
      </c>
    </row>
    <row r="3638">
      <c r="A3638" s="4" t="s">
        <v>7274</v>
      </c>
      <c r="B3638" s="4" t="s">
        <v>7275</v>
      </c>
    </row>
    <row r="3639">
      <c r="A3639" s="4" t="s">
        <v>7276</v>
      </c>
      <c r="B3639" s="4" t="s">
        <v>7277</v>
      </c>
    </row>
    <row r="3640">
      <c r="A3640" s="4" t="s">
        <v>7278</v>
      </c>
      <c r="B3640" s="4" t="s">
        <v>7279</v>
      </c>
    </row>
    <row r="3641">
      <c r="A3641" s="4" t="s">
        <v>7280</v>
      </c>
      <c r="B3641" s="4" t="s">
        <v>7281</v>
      </c>
    </row>
    <row r="3642">
      <c r="A3642" s="4" t="s">
        <v>7282</v>
      </c>
      <c r="B3642" s="4" t="s">
        <v>7283</v>
      </c>
    </row>
    <row r="3643">
      <c r="A3643" s="4" t="s">
        <v>7284</v>
      </c>
      <c r="B3643" s="4" t="s">
        <v>7285</v>
      </c>
    </row>
    <row r="3644">
      <c r="A3644" s="4" t="s">
        <v>7286</v>
      </c>
      <c r="B3644" s="4" t="s">
        <v>7287</v>
      </c>
    </row>
    <row r="3645">
      <c r="A3645" s="4" t="s">
        <v>7288</v>
      </c>
      <c r="B3645" s="4" t="s">
        <v>7289</v>
      </c>
    </row>
    <row r="3646">
      <c r="A3646" s="4" t="s">
        <v>7290</v>
      </c>
      <c r="B3646" s="4" t="s">
        <v>7291</v>
      </c>
    </row>
    <row r="3647">
      <c r="A3647" s="4" t="s">
        <v>7292</v>
      </c>
      <c r="B3647" s="4" t="s">
        <v>7293</v>
      </c>
    </row>
    <row r="3648">
      <c r="A3648" s="4" t="s">
        <v>7294</v>
      </c>
      <c r="B3648" s="4" t="s">
        <v>7295</v>
      </c>
    </row>
    <row r="3649">
      <c r="A3649" s="4" t="s">
        <v>7296</v>
      </c>
      <c r="B3649" s="4" t="s">
        <v>7297</v>
      </c>
    </row>
    <row r="3650">
      <c r="A3650" s="4" t="s">
        <v>7298</v>
      </c>
      <c r="B3650" s="4" t="s">
        <v>7299</v>
      </c>
    </row>
    <row r="3651">
      <c r="A3651" s="4" t="s">
        <v>7300</v>
      </c>
      <c r="B3651" s="4" t="s">
        <v>7301</v>
      </c>
    </row>
    <row r="3652">
      <c r="A3652" s="4" t="s">
        <v>7302</v>
      </c>
      <c r="B3652" s="4" t="s">
        <v>7303</v>
      </c>
    </row>
    <row r="3653">
      <c r="A3653" s="4" t="s">
        <v>7304</v>
      </c>
      <c r="B3653" s="4" t="s">
        <v>7305</v>
      </c>
    </row>
    <row r="3654">
      <c r="A3654" s="4" t="s">
        <v>7306</v>
      </c>
      <c r="B3654" s="4" t="s">
        <v>7307</v>
      </c>
    </row>
    <row r="3655">
      <c r="A3655" s="4" t="s">
        <v>7308</v>
      </c>
      <c r="B3655" s="4" t="s">
        <v>7309</v>
      </c>
    </row>
    <row r="3656">
      <c r="A3656" s="4" t="s">
        <v>7310</v>
      </c>
      <c r="B3656" s="4" t="s">
        <v>7311</v>
      </c>
    </row>
    <row r="3657">
      <c r="A3657" s="4" t="s">
        <v>7312</v>
      </c>
      <c r="B3657" s="4" t="s">
        <v>7313</v>
      </c>
    </row>
    <row r="3658">
      <c r="A3658" s="4" t="s">
        <v>7314</v>
      </c>
      <c r="B3658" s="4" t="s">
        <v>7315</v>
      </c>
    </row>
    <row r="3659">
      <c r="A3659" s="4" t="s">
        <v>7316</v>
      </c>
      <c r="B3659" s="4" t="s">
        <v>7317</v>
      </c>
    </row>
    <row r="3660">
      <c r="A3660" s="4" t="s">
        <v>7318</v>
      </c>
      <c r="B3660" s="4" t="s">
        <v>7319</v>
      </c>
    </row>
    <row r="3661">
      <c r="A3661" s="4" t="s">
        <v>7320</v>
      </c>
      <c r="B3661" s="4" t="s">
        <v>7321</v>
      </c>
    </row>
    <row r="3662">
      <c r="A3662" s="4" t="s">
        <v>7322</v>
      </c>
      <c r="B3662" s="4" t="s">
        <v>7323</v>
      </c>
    </row>
    <row r="3663">
      <c r="A3663" s="4" t="s">
        <v>7324</v>
      </c>
      <c r="B3663" s="4" t="s">
        <v>7325</v>
      </c>
    </row>
    <row r="3664">
      <c r="A3664" s="4" t="s">
        <v>7326</v>
      </c>
      <c r="B3664" s="4" t="s">
        <v>7327</v>
      </c>
    </row>
    <row r="3665">
      <c r="A3665" s="4" t="s">
        <v>7328</v>
      </c>
      <c r="B3665" s="4" t="s">
        <v>7329</v>
      </c>
    </row>
    <row r="3666">
      <c r="A3666" s="4" t="s">
        <v>7330</v>
      </c>
      <c r="B3666" s="4" t="s">
        <v>7331</v>
      </c>
    </row>
    <row r="3667">
      <c r="A3667" s="4" t="s">
        <v>7332</v>
      </c>
      <c r="B3667" s="4" t="s">
        <v>7333</v>
      </c>
    </row>
    <row r="3668">
      <c r="A3668" s="4" t="s">
        <v>7334</v>
      </c>
      <c r="B3668" s="4" t="s">
        <v>7335</v>
      </c>
    </row>
    <row r="3669">
      <c r="A3669" s="4" t="s">
        <v>7336</v>
      </c>
      <c r="B3669" s="4" t="s">
        <v>7337</v>
      </c>
    </row>
    <row r="3670">
      <c r="A3670" s="4" t="s">
        <v>7338</v>
      </c>
      <c r="B3670" s="4" t="s">
        <v>7339</v>
      </c>
    </row>
    <row r="3671">
      <c r="A3671" s="4" t="s">
        <v>7340</v>
      </c>
      <c r="B3671" s="4" t="s">
        <v>7341</v>
      </c>
    </row>
    <row r="3672">
      <c r="A3672" s="4" t="s">
        <v>7342</v>
      </c>
      <c r="B3672" s="4" t="s">
        <v>7343</v>
      </c>
    </row>
    <row r="3673">
      <c r="A3673" s="4" t="s">
        <v>7344</v>
      </c>
      <c r="B3673" s="4" t="s">
        <v>7345</v>
      </c>
    </row>
    <row r="3674">
      <c r="A3674" s="4" t="s">
        <v>7346</v>
      </c>
      <c r="B3674" s="4" t="s">
        <v>7347</v>
      </c>
    </row>
    <row r="3675">
      <c r="A3675" s="4" t="s">
        <v>7348</v>
      </c>
      <c r="B3675" s="4" t="s">
        <v>7349</v>
      </c>
    </row>
    <row r="3676">
      <c r="A3676" s="4" t="s">
        <v>7350</v>
      </c>
      <c r="B3676" s="4" t="s">
        <v>7351</v>
      </c>
    </row>
    <row r="3677">
      <c r="A3677" s="4" t="s">
        <v>7352</v>
      </c>
      <c r="B3677" s="4" t="s">
        <v>7353</v>
      </c>
    </row>
    <row r="3678">
      <c r="A3678" s="4" t="s">
        <v>7354</v>
      </c>
      <c r="B3678" s="4" t="s">
        <v>7355</v>
      </c>
    </row>
    <row r="3679">
      <c r="A3679" s="4" t="s">
        <v>7356</v>
      </c>
      <c r="B3679" s="4" t="s">
        <v>7357</v>
      </c>
    </row>
    <row r="3680">
      <c r="A3680" s="4" t="s">
        <v>7358</v>
      </c>
      <c r="B3680" s="4" t="s">
        <v>7359</v>
      </c>
    </row>
    <row r="3681">
      <c r="A3681" s="4" t="s">
        <v>7360</v>
      </c>
      <c r="B3681" s="4" t="s">
        <v>7361</v>
      </c>
    </row>
    <row r="3682">
      <c r="A3682" s="4" t="s">
        <v>7362</v>
      </c>
      <c r="B3682" s="4" t="s">
        <v>7363</v>
      </c>
    </row>
    <row r="3683">
      <c r="A3683" s="4" t="s">
        <v>7364</v>
      </c>
      <c r="B3683" s="4" t="s">
        <v>7365</v>
      </c>
    </row>
    <row r="3684">
      <c r="A3684" s="4" t="s">
        <v>7366</v>
      </c>
      <c r="B3684" s="4" t="s">
        <v>7367</v>
      </c>
    </row>
    <row r="3685">
      <c r="A3685" s="4" t="s">
        <v>7368</v>
      </c>
      <c r="B3685" s="4" t="s">
        <v>7369</v>
      </c>
    </row>
    <row r="3686">
      <c r="A3686" s="4" t="s">
        <v>7370</v>
      </c>
      <c r="B3686" s="4" t="s">
        <v>7371</v>
      </c>
    </row>
    <row r="3687">
      <c r="A3687" s="4" t="s">
        <v>7372</v>
      </c>
      <c r="B3687" s="4" t="s">
        <v>7373</v>
      </c>
    </row>
    <row r="3688">
      <c r="A3688" s="4" t="s">
        <v>7374</v>
      </c>
      <c r="B3688" s="4" t="s">
        <v>7375</v>
      </c>
    </row>
    <row r="3689">
      <c r="A3689" s="4" t="s">
        <v>7376</v>
      </c>
      <c r="B3689" s="4" t="s">
        <v>7377</v>
      </c>
    </row>
    <row r="3690">
      <c r="A3690" s="4" t="s">
        <v>7378</v>
      </c>
      <c r="B3690" s="4" t="s">
        <v>7379</v>
      </c>
    </row>
    <row r="3691">
      <c r="A3691" s="4" t="s">
        <v>7380</v>
      </c>
      <c r="B3691" s="4" t="s">
        <v>7381</v>
      </c>
    </row>
    <row r="3692">
      <c r="A3692" s="4" t="s">
        <v>7382</v>
      </c>
      <c r="B3692" s="4" t="s">
        <v>7383</v>
      </c>
    </row>
    <row r="3693">
      <c r="A3693" s="4" t="s">
        <v>7384</v>
      </c>
      <c r="B3693" s="4" t="s">
        <v>7385</v>
      </c>
    </row>
    <row r="3694">
      <c r="A3694" s="4" t="s">
        <v>7386</v>
      </c>
      <c r="B3694" s="4" t="s">
        <v>7387</v>
      </c>
    </row>
    <row r="3695">
      <c r="A3695" s="4" t="s">
        <v>7388</v>
      </c>
      <c r="B3695" s="4" t="s">
        <v>7389</v>
      </c>
    </row>
    <row r="3696">
      <c r="A3696" s="4" t="s">
        <v>7390</v>
      </c>
      <c r="B3696" s="4" t="s">
        <v>7391</v>
      </c>
    </row>
    <row r="3697">
      <c r="A3697" s="4" t="s">
        <v>7392</v>
      </c>
      <c r="B3697" s="4" t="s">
        <v>7393</v>
      </c>
    </row>
    <row r="3698">
      <c r="A3698" s="4" t="s">
        <v>7394</v>
      </c>
      <c r="B3698" s="4" t="s">
        <v>7395</v>
      </c>
    </row>
    <row r="3699">
      <c r="A3699" s="4" t="s">
        <v>7396</v>
      </c>
      <c r="B3699" s="4" t="s">
        <v>7397</v>
      </c>
    </row>
    <row r="3700">
      <c r="A3700" s="4" t="s">
        <v>7398</v>
      </c>
      <c r="B3700" s="4" t="s">
        <v>7399</v>
      </c>
    </row>
    <row r="3701">
      <c r="A3701" s="4" t="s">
        <v>7400</v>
      </c>
      <c r="B3701" s="4" t="s">
        <v>7401</v>
      </c>
    </row>
    <row r="3702">
      <c r="A3702" s="4" t="s">
        <v>7402</v>
      </c>
      <c r="B3702" s="4" t="s">
        <v>7403</v>
      </c>
    </row>
    <row r="3703">
      <c r="A3703" s="4" t="s">
        <v>7404</v>
      </c>
      <c r="B3703" s="4" t="s">
        <v>7405</v>
      </c>
    </row>
    <row r="3704">
      <c r="A3704" s="4" t="s">
        <v>7406</v>
      </c>
      <c r="B3704" s="4" t="s">
        <v>7407</v>
      </c>
    </row>
    <row r="3705">
      <c r="A3705" s="4" t="s">
        <v>7408</v>
      </c>
      <c r="B3705" s="4" t="s">
        <v>7409</v>
      </c>
    </row>
    <row r="3706">
      <c r="A3706" s="4" t="s">
        <v>7410</v>
      </c>
      <c r="B3706" s="4" t="s">
        <v>7411</v>
      </c>
    </row>
    <row r="3707">
      <c r="A3707" s="4" t="s">
        <v>7412</v>
      </c>
      <c r="B3707" s="4" t="s">
        <v>7413</v>
      </c>
    </row>
    <row r="3708">
      <c r="A3708" s="4" t="s">
        <v>7414</v>
      </c>
      <c r="B3708" s="4" t="s">
        <v>7415</v>
      </c>
    </row>
    <row r="3709">
      <c r="A3709" s="4" t="s">
        <v>7416</v>
      </c>
      <c r="B3709" s="4" t="s">
        <v>7417</v>
      </c>
    </row>
    <row r="3710">
      <c r="A3710" s="4" t="s">
        <v>7418</v>
      </c>
      <c r="B3710" s="4" t="s">
        <v>7419</v>
      </c>
    </row>
    <row r="3711">
      <c r="A3711" s="4" t="s">
        <v>7420</v>
      </c>
      <c r="B3711" s="4" t="s">
        <v>7421</v>
      </c>
    </row>
    <row r="3712">
      <c r="A3712" s="4" t="s">
        <v>7422</v>
      </c>
      <c r="B3712" s="4" t="s">
        <v>7423</v>
      </c>
    </row>
    <row r="3713">
      <c r="A3713" s="4" t="s">
        <v>7424</v>
      </c>
      <c r="B3713" s="4" t="s">
        <v>7425</v>
      </c>
    </row>
    <row r="3714">
      <c r="A3714" s="4" t="s">
        <v>7426</v>
      </c>
      <c r="B3714" s="4" t="s">
        <v>7427</v>
      </c>
    </row>
    <row r="3715">
      <c r="A3715" s="4" t="s">
        <v>7428</v>
      </c>
      <c r="B3715" s="4" t="s">
        <v>7429</v>
      </c>
    </row>
    <row r="3716">
      <c r="A3716" s="4" t="s">
        <v>7430</v>
      </c>
      <c r="B3716" s="4" t="s">
        <v>7431</v>
      </c>
    </row>
    <row r="3717">
      <c r="A3717" s="4" t="s">
        <v>7432</v>
      </c>
      <c r="B3717" s="4" t="s">
        <v>7433</v>
      </c>
    </row>
    <row r="3718">
      <c r="A3718" s="4" t="s">
        <v>7434</v>
      </c>
      <c r="B3718" s="4" t="s">
        <v>7435</v>
      </c>
    </row>
    <row r="3719">
      <c r="A3719" s="4" t="s">
        <v>7436</v>
      </c>
      <c r="B3719" s="4" t="s">
        <v>7437</v>
      </c>
    </row>
    <row r="3720">
      <c r="A3720" s="4" t="s">
        <v>7438</v>
      </c>
      <c r="B3720" s="4" t="s">
        <v>7439</v>
      </c>
    </row>
    <row r="3721">
      <c r="A3721" s="4" t="s">
        <v>7440</v>
      </c>
      <c r="B3721" s="4" t="s">
        <v>7441</v>
      </c>
    </row>
    <row r="3722">
      <c r="A3722" s="4" t="s">
        <v>7442</v>
      </c>
      <c r="B3722" s="4" t="s">
        <v>7443</v>
      </c>
    </row>
    <row r="3723">
      <c r="A3723" s="4" t="s">
        <v>7444</v>
      </c>
      <c r="B3723" s="4" t="s">
        <v>7445</v>
      </c>
    </row>
    <row r="3724">
      <c r="A3724" s="4" t="s">
        <v>7446</v>
      </c>
      <c r="B3724" s="4" t="s">
        <v>7447</v>
      </c>
    </row>
    <row r="3725">
      <c r="A3725" s="4" t="s">
        <v>7448</v>
      </c>
      <c r="B3725" s="4" t="s">
        <v>7449</v>
      </c>
    </row>
    <row r="3726">
      <c r="A3726" s="4" t="s">
        <v>7450</v>
      </c>
      <c r="B3726" s="4" t="s">
        <v>7451</v>
      </c>
    </row>
    <row r="3727">
      <c r="A3727" s="4" t="s">
        <v>7452</v>
      </c>
      <c r="B3727" s="4" t="s">
        <v>7453</v>
      </c>
    </row>
    <row r="3728">
      <c r="A3728" s="4" t="s">
        <v>7454</v>
      </c>
      <c r="B3728" s="4" t="s">
        <v>7455</v>
      </c>
    </row>
    <row r="3729">
      <c r="A3729" s="4" t="s">
        <v>7456</v>
      </c>
      <c r="B3729" s="4" t="s">
        <v>7457</v>
      </c>
    </row>
    <row r="3730">
      <c r="A3730" s="4" t="s">
        <v>7458</v>
      </c>
      <c r="B3730" s="4" t="s">
        <v>7459</v>
      </c>
    </row>
    <row r="3731">
      <c r="A3731" s="4" t="s">
        <v>7460</v>
      </c>
      <c r="B3731" s="4" t="s">
        <v>7461</v>
      </c>
    </row>
    <row r="3732">
      <c r="A3732" s="4" t="s">
        <v>7462</v>
      </c>
      <c r="B3732" s="4" t="s">
        <v>7463</v>
      </c>
    </row>
    <row r="3733">
      <c r="A3733" s="4" t="s">
        <v>7464</v>
      </c>
      <c r="B3733" s="4" t="s">
        <v>7465</v>
      </c>
    </row>
    <row r="3734">
      <c r="A3734" s="4" t="s">
        <v>7466</v>
      </c>
      <c r="B3734" s="4" t="s">
        <v>7467</v>
      </c>
    </row>
    <row r="3735">
      <c r="A3735" s="4" t="s">
        <v>7468</v>
      </c>
      <c r="B3735" s="4" t="s">
        <v>7469</v>
      </c>
    </row>
    <row r="3736">
      <c r="A3736" s="4" t="s">
        <v>7470</v>
      </c>
      <c r="B3736" s="4" t="s">
        <v>7471</v>
      </c>
    </row>
    <row r="3737">
      <c r="A3737" s="4" t="s">
        <v>7472</v>
      </c>
      <c r="B3737" s="4" t="s">
        <v>7473</v>
      </c>
    </row>
    <row r="3738">
      <c r="A3738" s="4" t="s">
        <v>7474</v>
      </c>
      <c r="B3738" s="4" t="s">
        <v>7475</v>
      </c>
    </row>
    <row r="3739">
      <c r="A3739" s="4" t="s">
        <v>7476</v>
      </c>
      <c r="B3739" s="4" t="s">
        <v>7477</v>
      </c>
    </row>
    <row r="3740">
      <c r="A3740" s="4" t="s">
        <v>7478</v>
      </c>
      <c r="B3740" s="4" t="s">
        <v>7479</v>
      </c>
    </row>
    <row r="3741">
      <c r="A3741" s="4" t="s">
        <v>7480</v>
      </c>
      <c r="B3741" s="4" t="s">
        <v>7481</v>
      </c>
    </row>
    <row r="3742">
      <c r="A3742" s="4" t="s">
        <v>7482</v>
      </c>
      <c r="B3742" s="4" t="s">
        <v>7483</v>
      </c>
    </row>
    <row r="3743">
      <c r="A3743" s="4" t="s">
        <v>7484</v>
      </c>
      <c r="B3743" s="4" t="s">
        <v>7485</v>
      </c>
    </row>
    <row r="3744">
      <c r="A3744" s="4" t="s">
        <v>7486</v>
      </c>
      <c r="B3744" s="4" t="s">
        <v>7487</v>
      </c>
    </row>
    <row r="3745">
      <c r="A3745" s="4" t="s">
        <v>7488</v>
      </c>
      <c r="B3745" s="4" t="s">
        <v>7489</v>
      </c>
    </row>
    <row r="3746">
      <c r="A3746" s="4" t="s">
        <v>7490</v>
      </c>
      <c r="B3746" s="4" t="s">
        <v>7491</v>
      </c>
    </row>
    <row r="3747">
      <c r="A3747" s="4" t="s">
        <v>7492</v>
      </c>
      <c r="B3747" s="4" t="s">
        <v>7493</v>
      </c>
    </row>
    <row r="3748">
      <c r="A3748" s="4" t="s">
        <v>7494</v>
      </c>
      <c r="B3748" s="4" t="s">
        <v>7495</v>
      </c>
    </row>
    <row r="3749">
      <c r="A3749" s="4" t="s">
        <v>7496</v>
      </c>
      <c r="B3749" s="4" t="s">
        <v>7497</v>
      </c>
    </row>
    <row r="3750">
      <c r="A3750" s="4" t="s">
        <v>7498</v>
      </c>
      <c r="B3750" s="4" t="s">
        <v>7499</v>
      </c>
    </row>
    <row r="3751">
      <c r="A3751" s="4" t="s">
        <v>7500</v>
      </c>
      <c r="B3751" s="4" t="s">
        <v>7501</v>
      </c>
    </row>
    <row r="3752">
      <c r="A3752" s="4" t="s">
        <v>7502</v>
      </c>
      <c r="B3752" s="4" t="s">
        <v>7503</v>
      </c>
    </row>
    <row r="3753">
      <c r="A3753" s="4" t="s">
        <v>7504</v>
      </c>
      <c r="B3753" s="4" t="s">
        <v>7505</v>
      </c>
    </row>
    <row r="3754">
      <c r="A3754" s="4" t="s">
        <v>7506</v>
      </c>
      <c r="B3754" s="4" t="s">
        <v>7507</v>
      </c>
    </row>
    <row r="3755">
      <c r="A3755" s="4" t="s">
        <v>7508</v>
      </c>
      <c r="B3755" s="4" t="s">
        <v>7509</v>
      </c>
    </row>
    <row r="3756">
      <c r="A3756" s="4" t="s">
        <v>7510</v>
      </c>
      <c r="B3756" s="4" t="s">
        <v>7511</v>
      </c>
    </row>
    <row r="3757">
      <c r="A3757" s="4" t="s">
        <v>7512</v>
      </c>
      <c r="B3757" s="4" t="s">
        <v>7513</v>
      </c>
    </row>
    <row r="3758">
      <c r="A3758" s="4" t="s">
        <v>7514</v>
      </c>
      <c r="B3758" s="4" t="s">
        <v>7515</v>
      </c>
    </row>
    <row r="3759">
      <c r="A3759" s="4" t="s">
        <v>7516</v>
      </c>
      <c r="B3759" s="4" t="s">
        <v>7517</v>
      </c>
    </row>
    <row r="3760">
      <c r="A3760" s="4" t="s">
        <v>7518</v>
      </c>
      <c r="B3760" s="4" t="s">
        <v>7519</v>
      </c>
    </row>
    <row r="3761">
      <c r="A3761" s="4" t="s">
        <v>7520</v>
      </c>
      <c r="B3761" s="4" t="s">
        <v>7521</v>
      </c>
    </row>
    <row r="3762">
      <c r="A3762" s="4" t="s">
        <v>7522</v>
      </c>
      <c r="B3762" s="4" t="s">
        <v>7523</v>
      </c>
    </row>
    <row r="3763">
      <c r="A3763" s="4" t="s">
        <v>7524</v>
      </c>
      <c r="B3763" s="4" t="s">
        <v>7525</v>
      </c>
    </row>
    <row r="3764">
      <c r="A3764" s="4" t="s">
        <v>7526</v>
      </c>
      <c r="B3764" s="4" t="s">
        <v>7527</v>
      </c>
    </row>
    <row r="3765">
      <c r="A3765" s="4" t="s">
        <v>7528</v>
      </c>
      <c r="B3765" s="4" t="s">
        <v>7529</v>
      </c>
    </row>
    <row r="3766">
      <c r="A3766" s="4" t="s">
        <v>7530</v>
      </c>
      <c r="B3766" s="4" t="s">
        <v>7531</v>
      </c>
    </row>
    <row r="3767">
      <c r="A3767" s="4" t="s">
        <v>7532</v>
      </c>
      <c r="B3767" s="4" t="s">
        <v>7533</v>
      </c>
    </row>
    <row r="3768">
      <c r="A3768" s="4" t="s">
        <v>7534</v>
      </c>
      <c r="B3768" s="4" t="s">
        <v>7535</v>
      </c>
    </row>
    <row r="3769">
      <c r="A3769" s="4" t="s">
        <v>7536</v>
      </c>
      <c r="B3769" s="4" t="s">
        <v>7537</v>
      </c>
    </row>
    <row r="3770">
      <c r="A3770" s="4" t="s">
        <v>7538</v>
      </c>
      <c r="B3770" s="4" t="s">
        <v>7539</v>
      </c>
    </row>
    <row r="3771">
      <c r="A3771" s="4" t="s">
        <v>7540</v>
      </c>
      <c r="B3771" s="4" t="s">
        <v>7541</v>
      </c>
    </row>
    <row r="3772">
      <c r="A3772" s="4" t="s">
        <v>7542</v>
      </c>
      <c r="B3772" s="4" t="s">
        <v>7543</v>
      </c>
    </row>
    <row r="3773">
      <c r="A3773" s="4" t="s">
        <v>7544</v>
      </c>
      <c r="B3773" s="4" t="s">
        <v>7545</v>
      </c>
    </row>
    <row r="3774">
      <c r="A3774" s="4" t="s">
        <v>7546</v>
      </c>
      <c r="B3774" s="4" t="s">
        <v>7547</v>
      </c>
    </row>
    <row r="3775">
      <c r="A3775" s="4" t="s">
        <v>7548</v>
      </c>
      <c r="B3775" s="4" t="s">
        <v>7549</v>
      </c>
    </row>
    <row r="3776">
      <c r="A3776" s="4" t="s">
        <v>7550</v>
      </c>
      <c r="B3776" s="4" t="s">
        <v>7551</v>
      </c>
    </row>
    <row r="3777">
      <c r="A3777" s="4" t="s">
        <v>7552</v>
      </c>
      <c r="B3777" s="4" t="s">
        <v>7553</v>
      </c>
    </row>
    <row r="3778">
      <c r="A3778" s="4" t="s">
        <v>7554</v>
      </c>
      <c r="B3778" s="4" t="s">
        <v>7555</v>
      </c>
    </row>
    <row r="3779">
      <c r="A3779" s="4" t="s">
        <v>7556</v>
      </c>
      <c r="B3779" s="4" t="s">
        <v>7557</v>
      </c>
    </row>
    <row r="3780">
      <c r="A3780" s="4" t="s">
        <v>7558</v>
      </c>
      <c r="B3780" s="4" t="s">
        <v>7559</v>
      </c>
    </row>
    <row r="3781">
      <c r="A3781" s="4" t="s">
        <v>7560</v>
      </c>
      <c r="B3781" s="4" t="s">
        <v>7561</v>
      </c>
    </row>
    <row r="3782">
      <c r="A3782" s="4" t="s">
        <v>7562</v>
      </c>
      <c r="B3782" s="4" t="s">
        <v>7563</v>
      </c>
    </row>
    <row r="3783">
      <c r="A3783" s="4" t="s">
        <v>7564</v>
      </c>
      <c r="B3783" s="4" t="s">
        <v>7565</v>
      </c>
    </row>
    <row r="3784">
      <c r="A3784" s="4" t="s">
        <v>7566</v>
      </c>
      <c r="B3784" s="4" t="s">
        <v>7567</v>
      </c>
    </row>
    <row r="3785">
      <c r="A3785" s="4" t="s">
        <v>7568</v>
      </c>
      <c r="B3785" s="4" t="s">
        <v>7569</v>
      </c>
    </row>
    <row r="3786">
      <c r="A3786" s="4" t="s">
        <v>7570</v>
      </c>
      <c r="B3786" s="4" t="s">
        <v>7571</v>
      </c>
    </row>
    <row r="3787">
      <c r="A3787" s="4" t="s">
        <v>7572</v>
      </c>
      <c r="B3787" s="4" t="s">
        <v>7573</v>
      </c>
    </row>
    <row r="3788">
      <c r="A3788" s="4" t="s">
        <v>7574</v>
      </c>
      <c r="B3788" s="4" t="s">
        <v>7575</v>
      </c>
    </row>
    <row r="3789">
      <c r="A3789" s="4" t="s">
        <v>7576</v>
      </c>
      <c r="B3789" s="4" t="s">
        <v>7577</v>
      </c>
    </row>
    <row r="3790">
      <c r="A3790" s="4" t="s">
        <v>7578</v>
      </c>
      <c r="B3790" s="4" t="s">
        <v>7579</v>
      </c>
    </row>
    <row r="3791">
      <c r="A3791" s="4" t="s">
        <v>7580</v>
      </c>
      <c r="B3791" s="4" t="s">
        <v>7581</v>
      </c>
    </row>
    <row r="3792">
      <c r="A3792" s="4" t="s">
        <v>7582</v>
      </c>
      <c r="B3792" s="4" t="s">
        <v>7583</v>
      </c>
    </row>
    <row r="3793">
      <c r="A3793" s="4" t="s">
        <v>7584</v>
      </c>
      <c r="B3793" s="4" t="s">
        <v>7585</v>
      </c>
    </row>
    <row r="3794">
      <c r="A3794" s="4" t="s">
        <v>7586</v>
      </c>
      <c r="B3794" s="4" t="s">
        <v>7587</v>
      </c>
    </row>
    <row r="3795">
      <c r="A3795" s="4" t="s">
        <v>7588</v>
      </c>
      <c r="B3795" s="4" t="s">
        <v>7589</v>
      </c>
    </row>
    <row r="3796">
      <c r="A3796" s="4" t="s">
        <v>7590</v>
      </c>
      <c r="B3796" s="4" t="s">
        <v>7591</v>
      </c>
    </row>
    <row r="3797">
      <c r="A3797" s="4" t="s">
        <v>7592</v>
      </c>
      <c r="B3797" s="4" t="s">
        <v>7593</v>
      </c>
    </row>
    <row r="3798">
      <c r="A3798" s="4" t="s">
        <v>7594</v>
      </c>
      <c r="B3798" s="4" t="s">
        <v>7595</v>
      </c>
    </row>
    <row r="3799">
      <c r="A3799" s="4" t="s">
        <v>7596</v>
      </c>
      <c r="B3799" s="4" t="s">
        <v>7597</v>
      </c>
    </row>
    <row r="3800">
      <c r="A3800" s="4" t="s">
        <v>7598</v>
      </c>
      <c r="B3800" s="4" t="s">
        <v>7599</v>
      </c>
    </row>
    <row r="3801">
      <c r="A3801" s="4" t="s">
        <v>7600</v>
      </c>
      <c r="B3801" s="4" t="s">
        <v>7601</v>
      </c>
    </row>
    <row r="3802">
      <c r="A3802" s="4" t="s">
        <v>7602</v>
      </c>
      <c r="B3802" s="4" t="s">
        <v>7603</v>
      </c>
    </row>
    <row r="3803">
      <c r="A3803" s="4" t="s">
        <v>7604</v>
      </c>
      <c r="B3803" s="4" t="s">
        <v>7605</v>
      </c>
    </row>
    <row r="3804">
      <c r="A3804" s="4" t="s">
        <v>7606</v>
      </c>
      <c r="B3804" s="4" t="s">
        <v>7607</v>
      </c>
    </row>
    <row r="3805">
      <c r="A3805" s="4" t="s">
        <v>7608</v>
      </c>
      <c r="B3805" s="4" t="s">
        <v>7609</v>
      </c>
    </row>
    <row r="3806">
      <c r="A3806" s="4" t="s">
        <v>7610</v>
      </c>
      <c r="B3806" s="4" t="s">
        <v>7611</v>
      </c>
    </row>
    <row r="3807">
      <c r="A3807" s="4" t="s">
        <v>7612</v>
      </c>
      <c r="B3807" s="4" t="s">
        <v>7613</v>
      </c>
    </row>
    <row r="3808">
      <c r="A3808" s="4" t="s">
        <v>7614</v>
      </c>
      <c r="B3808" s="4" t="s">
        <v>7615</v>
      </c>
    </row>
    <row r="3809">
      <c r="A3809" s="4" t="s">
        <v>7616</v>
      </c>
      <c r="B3809" s="4" t="s">
        <v>7617</v>
      </c>
    </row>
    <row r="3810">
      <c r="A3810" s="4" t="s">
        <v>7618</v>
      </c>
      <c r="B3810" s="4" t="s">
        <v>7619</v>
      </c>
    </row>
    <row r="3811">
      <c r="A3811" s="4" t="s">
        <v>7620</v>
      </c>
      <c r="B3811" s="4" t="s">
        <v>7621</v>
      </c>
    </row>
    <row r="3812">
      <c r="A3812" s="4" t="s">
        <v>7622</v>
      </c>
      <c r="B3812" s="4" t="s">
        <v>7623</v>
      </c>
    </row>
    <row r="3813">
      <c r="A3813" s="4" t="s">
        <v>7624</v>
      </c>
      <c r="B3813" s="4" t="s">
        <v>7625</v>
      </c>
    </row>
    <row r="3814">
      <c r="A3814" s="4" t="s">
        <v>7626</v>
      </c>
      <c r="B3814" s="4" t="s">
        <v>7627</v>
      </c>
    </row>
    <row r="3815">
      <c r="A3815" s="4" t="s">
        <v>7628</v>
      </c>
      <c r="B3815" s="4" t="s">
        <v>7629</v>
      </c>
    </row>
    <row r="3816">
      <c r="A3816" s="4" t="s">
        <v>7630</v>
      </c>
      <c r="B3816" s="4" t="s">
        <v>7631</v>
      </c>
    </row>
    <row r="3817">
      <c r="A3817" s="4" t="s">
        <v>7632</v>
      </c>
      <c r="B3817" s="4" t="s">
        <v>7633</v>
      </c>
    </row>
    <row r="3818">
      <c r="A3818" s="4" t="s">
        <v>7634</v>
      </c>
      <c r="B3818" s="4" t="s">
        <v>7635</v>
      </c>
    </row>
    <row r="3819">
      <c r="A3819" s="4" t="s">
        <v>7636</v>
      </c>
      <c r="B3819" s="4" t="s">
        <v>7637</v>
      </c>
    </row>
    <row r="3820">
      <c r="A3820" s="4" t="s">
        <v>7638</v>
      </c>
      <c r="B3820" s="4" t="s">
        <v>7639</v>
      </c>
    </row>
    <row r="3821">
      <c r="A3821" s="4" t="s">
        <v>7640</v>
      </c>
      <c r="B3821" s="4" t="s">
        <v>7641</v>
      </c>
    </row>
    <row r="3822">
      <c r="A3822" s="4" t="s">
        <v>7642</v>
      </c>
      <c r="B3822" s="4" t="s">
        <v>7643</v>
      </c>
    </row>
    <row r="3823">
      <c r="A3823" s="4" t="s">
        <v>7644</v>
      </c>
      <c r="B3823" s="4" t="s">
        <v>7645</v>
      </c>
    </row>
    <row r="3824">
      <c r="A3824" s="4" t="s">
        <v>7646</v>
      </c>
      <c r="B3824" s="4" t="s">
        <v>7647</v>
      </c>
    </row>
    <row r="3825">
      <c r="A3825" s="4" t="s">
        <v>7648</v>
      </c>
      <c r="B3825" s="4" t="s">
        <v>7649</v>
      </c>
    </row>
    <row r="3826">
      <c r="A3826" s="4" t="s">
        <v>7650</v>
      </c>
      <c r="B3826" s="4" t="s">
        <v>7651</v>
      </c>
    </row>
    <row r="3827">
      <c r="A3827" s="4" t="s">
        <v>7652</v>
      </c>
      <c r="B3827" s="4" t="s">
        <v>7653</v>
      </c>
    </row>
    <row r="3828">
      <c r="A3828" s="4" t="s">
        <v>7654</v>
      </c>
      <c r="B3828" s="4" t="s">
        <v>7655</v>
      </c>
    </row>
    <row r="3829">
      <c r="A3829" s="4" t="s">
        <v>7656</v>
      </c>
      <c r="B3829" s="4" t="s">
        <v>7657</v>
      </c>
    </row>
    <row r="3830">
      <c r="A3830" s="4" t="s">
        <v>7658</v>
      </c>
      <c r="B3830" s="4" t="s">
        <v>7659</v>
      </c>
    </row>
    <row r="3831">
      <c r="A3831" s="4" t="s">
        <v>7660</v>
      </c>
      <c r="B3831" s="4" t="s">
        <v>7661</v>
      </c>
    </row>
    <row r="3832">
      <c r="A3832" s="4" t="s">
        <v>7662</v>
      </c>
      <c r="B3832" s="4" t="s">
        <v>7663</v>
      </c>
    </row>
    <row r="3833">
      <c r="A3833" s="4" t="s">
        <v>7664</v>
      </c>
      <c r="B3833" s="4" t="s">
        <v>7665</v>
      </c>
    </row>
    <row r="3834">
      <c r="A3834" s="4" t="s">
        <v>7666</v>
      </c>
      <c r="B3834" s="4" t="s">
        <v>7667</v>
      </c>
    </row>
    <row r="3835">
      <c r="A3835" s="4" t="s">
        <v>7668</v>
      </c>
      <c r="B3835" s="4" t="s">
        <v>7669</v>
      </c>
    </row>
    <row r="3836">
      <c r="A3836" s="4" t="s">
        <v>7670</v>
      </c>
      <c r="B3836" s="4" t="s">
        <v>7671</v>
      </c>
    </row>
    <row r="3837">
      <c r="A3837" s="4" t="s">
        <v>7672</v>
      </c>
      <c r="B3837" s="4" t="s">
        <v>7673</v>
      </c>
    </row>
    <row r="3838">
      <c r="A3838" s="4" t="s">
        <v>7674</v>
      </c>
      <c r="B3838" s="4" t="s">
        <v>7675</v>
      </c>
    </row>
    <row r="3839">
      <c r="A3839" s="4" t="s">
        <v>7676</v>
      </c>
      <c r="B3839" s="4" t="s">
        <v>7677</v>
      </c>
    </row>
    <row r="3840">
      <c r="A3840" s="4" t="s">
        <v>7678</v>
      </c>
      <c r="B3840" s="4" t="s">
        <v>7679</v>
      </c>
    </row>
    <row r="3841">
      <c r="A3841" s="4" t="s">
        <v>7680</v>
      </c>
      <c r="B3841" s="4" t="s">
        <v>7681</v>
      </c>
    </row>
    <row r="3842">
      <c r="A3842" s="4" t="s">
        <v>7682</v>
      </c>
      <c r="B3842" s="4" t="s">
        <v>7683</v>
      </c>
    </row>
    <row r="3843">
      <c r="A3843" s="4" t="s">
        <v>7684</v>
      </c>
      <c r="B3843" s="4" t="s">
        <v>7685</v>
      </c>
    </row>
    <row r="3844">
      <c r="A3844" s="4" t="s">
        <v>7686</v>
      </c>
      <c r="B3844" s="4" t="s">
        <v>7687</v>
      </c>
    </row>
    <row r="3845">
      <c r="A3845" s="4" t="s">
        <v>7688</v>
      </c>
      <c r="B3845" s="4" t="s">
        <v>7689</v>
      </c>
    </row>
    <row r="3846">
      <c r="A3846" s="4" t="s">
        <v>7690</v>
      </c>
      <c r="B3846" s="4" t="s">
        <v>7691</v>
      </c>
    </row>
    <row r="3847">
      <c r="A3847" s="4" t="s">
        <v>7692</v>
      </c>
      <c r="B3847" s="4" t="s">
        <v>7693</v>
      </c>
    </row>
    <row r="3848">
      <c r="A3848" s="4" t="s">
        <v>7694</v>
      </c>
      <c r="B3848" s="4" t="s">
        <v>7695</v>
      </c>
    </row>
    <row r="3849">
      <c r="A3849" s="4" t="s">
        <v>7696</v>
      </c>
      <c r="B3849" s="4" t="s">
        <v>7697</v>
      </c>
    </row>
    <row r="3850">
      <c r="A3850" s="4" t="s">
        <v>7698</v>
      </c>
      <c r="B3850" s="4" t="s">
        <v>7699</v>
      </c>
    </row>
    <row r="3851">
      <c r="A3851" s="4" t="s">
        <v>7700</v>
      </c>
      <c r="B3851" s="4" t="s">
        <v>7701</v>
      </c>
    </row>
    <row r="3852">
      <c r="A3852" s="4" t="s">
        <v>7702</v>
      </c>
      <c r="B3852" s="4" t="s">
        <v>7703</v>
      </c>
    </row>
    <row r="3853">
      <c r="A3853" s="4" t="s">
        <v>7704</v>
      </c>
      <c r="B3853" s="4" t="s">
        <v>7705</v>
      </c>
    </row>
    <row r="3854">
      <c r="A3854" s="4" t="s">
        <v>7706</v>
      </c>
      <c r="B3854" s="4" t="s">
        <v>7707</v>
      </c>
    </row>
    <row r="3855">
      <c r="A3855" s="4" t="s">
        <v>7708</v>
      </c>
      <c r="B3855" s="4" t="s">
        <v>7709</v>
      </c>
    </row>
    <row r="3856">
      <c r="A3856" s="4" t="s">
        <v>7710</v>
      </c>
      <c r="B3856" s="4" t="s">
        <v>7711</v>
      </c>
    </row>
    <row r="3857">
      <c r="A3857" s="4" t="s">
        <v>7712</v>
      </c>
      <c r="B3857" s="4" t="s">
        <v>7713</v>
      </c>
    </row>
    <row r="3858">
      <c r="A3858" s="4" t="s">
        <v>7714</v>
      </c>
      <c r="B3858" s="4" t="s">
        <v>7715</v>
      </c>
    </row>
    <row r="3859">
      <c r="A3859" s="4" t="s">
        <v>7716</v>
      </c>
      <c r="B3859" s="4" t="s">
        <v>7717</v>
      </c>
    </row>
    <row r="3860">
      <c r="A3860" s="4" t="s">
        <v>7718</v>
      </c>
      <c r="B3860" s="4" t="s">
        <v>7719</v>
      </c>
    </row>
    <row r="3861">
      <c r="A3861" s="4" t="s">
        <v>7720</v>
      </c>
      <c r="B3861" s="4" t="s">
        <v>7721</v>
      </c>
    </row>
    <row r="3862">
      <c r="A3862" s="4" t="s">
        <v>7722</v>
      </c>
      <c r="B3862" s="4" t="s">
        <v>7723</v>
      </c>
    </row>
    <row r="3863">
      <c r="A3863" s="4" t="s">
        <v>7724</v>
      </c>
      <c r="B3863" s="4" t="s">
        <v>7725</v>
      </c>
    </row>
    <row r="3864">
      <c r="A3864" s="4" t="s">
        <v>7726</v>
      </c>
      <c r="B3864" s="4" t="s">
        <v>7727</v>
      </c>
    </row>
    <row r="3865">
      <c r="A3865" s="4" t="s">
        <v>7728</v>
      </c>
      <c r="B3865" s="4" t="s">
        <v>7729</v>
      </c>
    </row>
    <row r="3866">
      <c r="A3866" s="4" t="s">
        <v>7730</v>
      </c>
      <c r="B3866" s="4" t="s">
        <v>7731</v>
      </c>
    </row>
    <row r="3867">
      <c r="A3867" s="4" t="s">
        <v>7732</v>
      </c>
      <c r="B3867" s="4" t="s">
        <v>7733</v>
      </c>
    </row>
    <row r="3868">
      <c r="A3868" s="4" t="s">
        <v>7734</v>
      </c>
      <c r="B3868" s="4" t="s">
        <v>7735</v>
      </c>
    </row>
    <row r="3869">
      <c r="A3869" s="4" t="s">
        <v>7736</v>
      </c>
      <c r="B3869" s="4" t="s">
        <v>7737</v>
      </c>
    </row>
    <row r="3870">
      <c r="A3870" s="4" t="s">
        <v>7738</v>
      </c>
      <c r="B3870" s="4" t="s">
        <v>7739</v>
      </c>
    </row>
    <row r="3871">
      <c r="A3871" s="4" t="s">
        <v>7740</v>
      </c>
      <c r="B3871" s="4" t="s">
        <v>7741</v>
      </c>
    </row>
    <row r="3872">
      <c r="A3872" s="4" t="s">
        <v>7742</v>
      </c>
      <c r="B3872" s="4" t="s">
        <v>7743</v>
      </c>
    </row>
    <row r="3873">
      <c r="A3873" s="4" t="s">
        <v>7744</v>
      </c>
      <c r="B3873" s="4" t="s">
        <v>7745</v>
      </c>
    </row>
    <row r="3874">
      <c r="A3874" s="4" t="s">
        <v>7746</v>
      </c>
      <c r="B3874" s="4" t="s">
        <v>7747</v>
      </c>
    </row>
    <row r="3875">
      <c r="A3875" s="4" t="s">
        <v>7748</v>
      </c>
      <c r="B3875" s="4" t="s">
        <v>7749</v>
      </c>
    </row>
    <row r="3876">
      <c r="A3876" s="4" t="s">
        <v>7750</v>
      </c>
      <c r="B3876" s="4" t="s">
        <v>7751</v>
      </c>
    </row>
    <row r="3877">
      <c r="A3877" s="4" t="s">
        <v>7752</v>
      </c>
      <c r="B3877" s="4" t="s">
        <v>7753</v>
      </c>
    </row>
    <row r="3878">
      <c r="A3878" s="4" t="s">
        <v>7754</v>
      </c>
      <c r="B3878" s="4" t="s">
        <v>7755</v>
      </c>
    </row>
    <row r="3879">
      <c r="A3879" s="4" t="s">
        <v>7756</v>
      </c>
      <c r="B3879" s="4" t="s">
        <v>7757</v>
      </c>
    </row>
    <row r="3880">
      <c r="A3880" s="4" t="s">
        <v>7758</v>
      </c>
      <c r="B3880" s="4" t="s">
        <v>7759</v>
      </c>
    </row>
    <row r="3881">
      <c r="A3881" s="4" t="s">
        <v>7760</v>
      </c>
      <c r="B3881" s="4" t="s">
        <v>7761</v>
      </c>
    </row>
    <row r="3882">
      <c r="A3882" s="4" t="s">
        <v>7762</v>
      </c>
      <c r="B3882" s="4" t="s">
        <v>7763</v>
      </c>
    </row>
    <row r="3883">
      <c r="A3883" s="4" t="s">
        <v>7764</v>
      </c>
      <c r="B3883" s="4" t="s">
        <v>7765</v>
      </c>
    </row>
    <row r="3884">
      <c r="A3884" s="4" t="s">
        <v>7766</v>
      </c>
      <c r="B3884" s="4" t="s">
        <v>7767</v>
      </c>
    </row>
    <row r="3885">
      <c r="A3885" s="4" t="s">
        <v>7768</v>
      </c>
      <c r="B3885" s="4" t="s">
        <v>7769</v>
      </c>
    </row>
    <row r="3886">
      <c r="A3886" s="4" t="s">
        <v>7770</v>
      </c>
      <c r="B3886" s="4" t="s">
        <v>7771</v>
      </c>
    </row>
    <row r="3887">
      <c r="A3887" s="4" t="s">
        <v>7772</v>
      </c>
      <c r="B3887" s="4" t="s">
        <v>7773</v>
      </c>
    </row>
    <row r="3888">
      <c r="A3888" s="4" t="s">
        <v>7774</v>
      </c>
      <c r="B3888" s="4" t="s">
        <v>7775</v>
      </c>
    </row>
    <row r="3889">
      <c r="A3889" s="4" t="s">
        <v>7776</v>
      </c>
      <c r="B3889" s="4" t="s">
        <v>7777</v>
      </c>
    </row>
    <row r="3890">
      <c r="A3890" s="4" t="s">
        <v>7778</v>
      </c>
      <c r="B3890" s="4" t="s">
        <v>7779</v>
      </c>
    </row>
    <row r="3891">
      <c r="A3891" s="4" t="s">
        <v>7780</v>
      </c>
      <c r="B3891" s="4" t="s">
        <v>7781</v>
      </c>
    </row>
    <row r="3892">
      <c r="A3892" s="4" t="s">
        <v>7782</v>
      </c>
      <c r="B3892" s="4" t="s">
        <v>7783</v>
      </c>
    </row>
    <row r="3893">
      <c r="A3893" s="4" t="s">
        <v>7784</v>
      </c>
      <c r="B3893" s="4" t="s">
        <v>7785</v>
      </c>
    </row>
    <row r="3894">
      <c r="A3894" s="4" t="s">
        <v>7786</v>
      </c>
      <c r="B3894" s="4" t="s">
        <v>7787</v>
      </c>
    </row>
    <row r="3895">
      <c r="A3895" s="4" t="s">
        <v>7788</v>
      </c>
      <c r="B3895" s="4" t="s">
        <v>7789</v>
      </c>
    </row>
    <row r="3896">
      <c r="A3896" s="4" t="s">
        <v>7790</v>
      </c>
      <c r="B3896" s="4" t="s">
        <v>7791</v>
      </c>
    </row>
    <row r="3897">
      <c r="A3897" s="4" t="s">
        <v>7792</v>
      </c>
      <c r="B3897" s="4" t="s">
        <v>7793</v>
      </c>
    </row>
    <row r="3898">
      <c r="A3898" s="4" t="s">
        <v>7794</v>
      </c>
      <c r="B3898" s="4" t="s">
        <v>7795</v>
      </c>
    </row>
    <row r="3899">
      <c r="A3899" s="4" t="s">
        <v>7796</v>
      </c>
      <c r="B3899" s="4" t="s">
        <v>7797</v>
      </c>
    </row>
    <row r="3900">
      <c r="A3900" s="4" t="s">
        <v>7798</v>
      </c>
      <c r="B3900" s="4" t="s">
        <v>7799</v>
      </c>
    </row>
    <row r="3901">
      <c r="A3901" s="4" t="s">
        <v>7800</v>
      </c>
      <c r="B3901" s="4" t="s">
        <v>7801</v>
      </c>
    </row>
    <row r="3902">
      <c r="A3902" s="4" t="s">
        <v>7802</v>
      </c>
      <c r="B3902" s="4" t="s">
        <v>7803</v>
      </c>
    </row>
    <row r="3903">
      <c r="A3903" s="4" t="s">
        <v>7804</v>
      </c>
      <c r="B3903" s="4" t="s">
        <v>7805</v>
      </c>
    </row>
    <row r="3904">
      <c r="A3904" s="4" t="s">
        <v>7806</v>
      </c>
      <c r="B3904" s="4" t="s">
        <v>7807</v>
      </c>
    </row>
    <row r="3905">
      <c r="A3905" s="4" t="s">
        <v>7808</v>
      </c>
      <c r="B3905" s="4" t="s">
        <v>7809</v>
      </c>
    </row>
    <row r="3906">
      <c r="A3906" s="4" t="s">
        <v>7810</v>
      </c>
      <c r="B3906" s="4" t="s">
        <v>7811</v>
      </c>
    </row>
    <row r="3907">
      <c r="A3907" s="4" t="s">
        <v>7812</v>
      </c>
      <c r="B3907" s="4" t="s">
        <v>7813</v>
      </c>
    </row>
    <row r="3908">
      <c r="A3908" s="4" t="s">
        <v>7814</v>
      </c>
      <c r="B3908" s="4" t="s">
        <v>7815</v>
      </c>
    </row>
    <row r="3909">
      <c r="A3909" s="4" t="s">
        <v>7816</v>
      </c>
      <c r="B3909" s="4" t="s">
        <v>7817</v>
      </c>
    </row>
    <row r="3910">
      <c r="A3910" s="4" t="s">
        <v>7818</v>
      </c>
      <c r="B3910" s="4" t="s">
        <v>7819</v>
      </c>
    </row>
    <row r="3911">
      <c r="A3911" s="4" t="s">
        <v>7820</v>
      </c>
      <c r="B3911" s="4" t="s">
        <v>7821</v>
      </c>
    </row>
    <row r="3912">
      <c r="A3912" s="4" t="s">
        <v>7822</v>
      </c>
      <c r="B3912" s="4" t="s">
        <v>7823</v>
      </c>
    </row>
    <row r="3913">
      <c r="A3913" s="4" t="s">
        <v>7824</v>
      </c>
      <c r="B3913" s="4" t="s">
        <v>7825</v>
      </c>
    </row>
    <row r="3914">
      <c r="A3914" s="4" t="s">
        <v>7826</v>
      </c>
      <c r="B3914" s="4" t="s">
        <v>7827</v>
      </c>
    </row>
    <row r="3915">
      <c r="A3915" s="4" t="s">
        <v>7828</v>
      </c>
      <c r="B3915" s="4" t="s">
        <v>7829</v>
      </c>
    </row>
    <row r="3916">
      <c r="A3916" s="4" t="s">
        <v>7830</v>
      </c>
      <c r="B3916" s="4" t="s">
        <v>7831</v>
      </c>
    </row>
    <row r="3917">
      <c r="A3917" s="4" t="b">
        <v>1</v>
      </c>
      <c r="B3917" s="4" t="s">
        <v>7832</v>
      </c>
    </row>
    <row r="3918">
      <c r="A3918" s="4" t="s">
        <v>7833</v>
      </c>
      <c r="B3918" s="4" t="s">
        <v>7834</v>
      </c>
    </row>
    <row r="3919">
      <c r="A3919" s="4" t="s">
        <v>7835</v>
      </c>
      <c r="B3919" s="4" t="s">
        <v>7836</v>
      </c>
    </row>
    <row r="3920">
      <c r="A3920" s="4" t="s">
        <v>7837</v>
      </c>
      <c r="B3920" s="4" t="s">
        <v>7838</v>
      </c>
    </row>
    <row r="3921">
      <c r="A3921" s="4" t="s">
        <v>7839</v>
      </c>
      <c r="B3921" s="4" t="s">
        <v>7840</v>
      </c>
    </row>
    <row r="3922">
      <c r="A3922" s="4" t="s">
        <v>7841</v>
      </c>
      <c r="B3922" s="4" t="s">
        <v>7842</v>
      </c>
    </row>
    <row r="3923">
      <c r="A3923" s="4" t="s">
        <v>7843</v>
      </c>
      <c r="B3923" s="4" t="s">
        <v>7844</v>
      </c>
    </row>
    <row r="3924">
      <c r="A3924" s="4" t="s">
        <v>7845</v>
      </c>
      <c r="B3924" s="4" t="s">
        <v>7846</v>
      </c>
    </row>
    <row r="3925">
      <c r="A3925" s="4" t="s">
        <v>7847</v>
      </c>
      <c r="B3925" s="4" t="s">
        <v>7848</v>
      </c>
    </row>
    <row r="3926">
      <c r="A3926" s="4" t="s">
        <v>7849</v>
      </c>
      <c r="B3926" s="4" t="s">
        <v>7850</v>
      </c>
    </row>
    <row r="3927">
      <c r="A3927" s="4" t="s">
        <v>7851</v>
      </c>
      <c r="B3927" s="4" t="s">
        <v>7852</v>
      </c>
    </row>
    <row r="3928">
      <c r="A3928" s="4" t="s">
        <v>7853</v>
      </c>
      <c r="B3928" s="4" t="s">
        <v>7854</v>
      </c>
    </row>
    <row r="3929">
      <c r="A3929" s="4" t="s">
        <v>7855</v>
      </c>
      <c r="B3929" s="4" t="s">
        <v>7856</v>
      </c>
    </row>
    <row r="3930">
      <c r="A3930" s="4" t="s">
        <v>7857</v>
      </c>
      <c r="B3930" s="4" t="s">
        <v>7858</v>
      </c>
    </row>
    <row r="3931">
      <c r="A3931" s="4" t="s">
        <v>7859</v>
      </c>
      <c r="B3931" s="4" t="s">
        <v>7860</v>
      </c>
    </row>
    <row r="3932">
      <c r="A3932" s="4" t="s">
        <v>7861</v>
      </c>
      <c r="B3932" s="4" t="s">
        <v>7862</v>
      </c>
    </row>
    <row r="3933">
      <c r="A3933" s="4" t="s">
        <v>7863</v>
      </c>
      <c r="B3933" s="4" t="s">
        <v>7864</v>
      </c>
    </row>
    <row r="3934">
      <c r="A3934" s="4" t="s">
        <v>7865</v>
      </c>
      <c r="B3934" s="4" t="s">
        <v>7866</v>
      </c>
    </row>
    <row r="3935">
      <c r="A3935" s="4" t="s">
        <v>7867</v>
      </c>
      <c r="B3935" s="4" t="s">
        <v>7868</v>
      </c>
    </row>
    <row r="3936">
      <c r="A3936" s="4" t="s">
        <v>7869</v>
      </c>
      <c r="B3936" s="4" t="s">
        <v>7870</v>
      </c>
    </row>
    <row r="3937">
      <c r="A3937" s="4" t="s">
        <v>7871</v>
      </c>
      <c r="B3937" s="4" t="s">
        <v>7872</v>
      </c>
    </row>
    <row r="3938">
      <c r="A3938" s="4" t="s">
        <v>7873</v>
      </c>
      <c r="B3938" s="4" t="s">
        <v>7874</v>
      </c>
    </row>
    <row r="3939">
      <c r="A3939" s="4" t="s">
        <v>7875</v>
      </c>
      <c r="B3939" s="4" t="s">
        <v>7876</v>
      </c>
    </row>
    <row r="3940">
      <c r="A3940" s="4" t="s">
        <v>7877</v>
      </c>
      <c r="B3940" s="4" t="s">
        <v>7878</v>
      </c>
    </row>
    <row r="3941">
      <c r="A3941" s="4" t="s">
        <v>7879</v>
      </c>
      <c r="B3941" s="4" t="s">
        <v>7880</v>
      </c>
    </row>
    <row r="3942">
      <c r="A3942" s="4" t="s">
        <v>7881</v>
      </c>
      <c r="B3942" s="4" t="s">
        <v>7882</v>
      </c>
    </row>
    <row r="3943">
      <c r="A3943" s="4" t="s">
        <v>7883</v>
      </c>
      <c r="B3943" s="4" t="s">
        <v>7884</v>
      </c>
    </row>
    <row r="3944">
      <c r="A3944" s="4" t="s">
        <v>7885</v>
      </c>
      <c r="B3944" s="4" t="s">
        <v>7886</v>
      </c>
    </row>
    <row r="3945">
      <c r="A3945" s="4" t="s">
        <v>7887</v>
      </c>
      <c r="B3945" s="4" t="s">
        <v>7888</v>
      </c>
    </row>
    <row r="3946">
      <c r="A3946" s="4" t="s">
        <v>7889</v>
      </c>
      <c r="B3946" s="4" t="s">
        <v>7890</v>
      </c>
    </row>
    <row r="3947">
      <c r="A3947" s="4" t="s">
        <v>7891</v>
      </c>
      <c r="B3947" s="4" t="s">
        <v>7892</v>
      </c>
    </row>
    <row r="3948">
      <c r="A3948" s="4" t="s">
        <v>7893</v>
      </c>
      <c r="B3948" s="4" t="s">
        <v>7894</v>
      </c>
    </row>
    <row r="3949">
      <c r="A3949" s="4" t="s">
        <v>7895</v>
      </c>
      <c r="B3949" s="4" t="s">
        <v>7896</v>
      </c>
    </row>
    <row r="3950">
      <c r="A3950" s="4" t="s">
        <v>7897</v>
      </c>
      <c r="B3950" s="4" t="s">
        <v>7898</v>
      </c>
    </row>
    <row r="3951">
      <c r="A3951" s="4" t="s">
        <v>7899</v>
      </c>
      <c r="B3951" s="4" t="s">
        <v>7900</v>
      </c>
    </row>
    <row r="3952">
      <c r="A3952" s="4" t="s">
        <v>7901</v>
      </c>
      <c r="B3952" s="4" t="s">
        <v>7902</v>
      </c>
    </row>
    <row r="3953">
      <c r="A3953" s="4" t="s">
        <v>7903</v>
      </c>
      <c r="B3953" s="4" t="s">
        <v>7904</v>
      </c>
    </row>
    <row r="3954">
      <c r="A3954" s="4" t="s">
        <v>7905</v>
      </c>
      <c r="B3954" s="4" t="s">
        <v>7906</v>
      </c>
    </row>
    <row r="3955">
      <c r="A3955" s="4" t="s">
        <v>7907</v>
      </c>
      <c r="B3955" s="4" t="s">
        <v>7908</v>
      </c>
    </row>
    <row r="3956">
      <c r="A3956" s="4" t="s">
        <v>7909</v>
      </c>
      <c r="B3956" s="4" t="s">
        <v>7910</v>
      </c>
    </row>
    <row r="3957">
      <c r="A3957" s="4" t="s">
        <v>7911</v>
      </c>
      <c r="B3957" s="4" t="s">
        <v>7912</v>
      </c>
    </row>
    <row r="3958">
      <c r="A3958" s="4" t="s">
        <v>7913</v>
      </c>
      <c r="B3958" s="4" t="s">
        <v>7914</v>
      </c>
    </row>
    <row r="3959">
      <c r="A3959" s="4" t="s">
        <v>7915</v>
      </c>
      <c r="B3959" s="4" t="s">
        <v>7916</v>
      </c>
    </row>
    <row r="3960">
      <c r="A3960" s="4" t="s">
        <v>7917</v>
      </c>
      <c r="B3960" s="4" t="s">
        <v>7918</v>
      </c>
    </row>
    <row r="3961">
      <c r="A3961" s="4" t="s">
        <v>7919</v>
      </c>
      <c r="B3961" s="4" t="s">
        <v>7920</v>
      </c>
    </row>
    <row r="3962">
      <c r="A3962" s="4" t="s">
        <v>7921</v>
      </c>
      <c r="B3962" s="4" t="s">
        <v>7922</v>
      </c>
    </row>
    <row r="3963">
      <c r="A3963" s="4" t="s">
        <v>7923</v>
      </c>
      <c r="B3963" s="4" t="s">
        <v>7924</v>
      </c>
    </row>
    <row r="3964">
      <c r="A3964" s="4" t="s">
        <v>7925</v>
      </c>
      <c r="B3964" s="4" t="s">
        <v>7926</v>
      </c>
    </row>
    <row r="3965">
      <c r="A3965" s="4" t="s">
        <v>7927</v>
      </c>
      <c r="B3965" s="4" t="s">
        <v>7928</v>
      </c>
    </row>
    <row r="3966">
      <c r="A3966" s="4" t="s">
        <v>7929</v>
      </c>
      <c r="B3966" s="4" t="s">
        <v>7930</v>
      </c>
    </row>
    <row r="3967">
      <c r="A3967" s="4" t="s">
        <v>7931</v>
      </c>
      <c r="B3967" s="4" t="s">
        <v>7932</v>
      </c>
    </row>
    <row r="3968">
      <c r="A3968" s="4" t="s">
        <v>7933</v>
      </c>
      <c r="B3968" s="4" t="s">
        <v>7934</v>
      </c>
    </row>
    <row r="3969">
      <c r="A3969" s="4" t="s">
        <v>7935</v>
      </c>
      <c r="B3969" s="4" t="s">
        <v>7936</v>
      </c>
    </row>
    <row r="3970">
      <c r="A3970" s="4" t="s">
        <v>7937</v>
      </c>
      <c r="B3970" s="4" t="s">
        <v>7938</v>
      </c>
    </row>
    <row r="3971">
      <c r="A3971" s="4" t="s">
        <v>7939</v>
      </c>
      <c r="B3971" s="4" t="s">
        <v>7940</v>
      </c>
    </row>
    <row r="3972">
      <c r="A3972" s="4" t="s">
        <v>7941</v>
      </c>
      <c r="B3972" s="4" t="s">
        <v>7942</v>
      </c>
    </row>
    <row r="3973">
      <c r="A3973" s="4" t="s">
        <v>7943</v>
      </c>
      <c r="B3973" s="4" t="s">
        <v>7944</v>
      </c>
    </row>
    <row r="3974">
      <c r="A3974" s="4" t="s">
        <v>7945</v>
      </c>
      <c r="B3974" s="4" t="s">
        <v>7946</v>
      </c>
    </row>
    <row r="3975">
      <c r="A3975" s="4" t="s">
        <v>7947</v>
      </c>
      <c r="B3975" s="4" t="s">
        <v>7948</v>
      </c>
    </row>
    <row r="3976">
      <c r="A3976" s="4" t="s">
        <v>7949</v>
      </c>
      <c r="B3976" s="4" t="s">
        <v>7950</v>
      </c>
    </row>
    <row r="3977">
      <c r="A3977" s="4" t="s">
        <v>7951</v>
      </c>
      <c r="B3977" s="4" t="s">
        <v>7952</v>
      </c>
    </row>
    <row r="3978">
      <c r="A3978" s="4" t="s">
        <v>7953</v>
      </c>
      <c r="B3978" s="4" t="s">
        <v>7954</v>
      </c>
    </row>
    <row r="3979">
      <c r="A3979" s="4" t="s">
        <v>7955</v>
      </c>
      <c r="B3979" s="4" t="s">
        <v>7956</v>
      </c>
    </row>
    <row r="3980">
      <c r="A3980" s="4" t="s">
        <v>7957</v>
      </c>
      <c r="B3980" s="4" t="s">
        <v>7958</v>
      </c>
    </row>
    <row r="3981">
      <c r="A3981" s="4" t="s">
        <v>7959</v>
      </c>
      <c r="B3981" s="4" t="s">
        <v>7960</v>
      </c>
    </row>
    <row r="3982">
      <c r="A3982" s="4" t="s">
        <v>7961</v>
      </c>
      <c r="B3982" s="4" t="s">
        <v>7962</v>
      </c>
    </row>
    <row r="3983">
      <c r="A3983" s="4" t="s">
        <v>7963</v>
      </c>
      <c r="B3983" s="4" t="s">
        <v>7964</v>
      </c>
    </row>
    <row r="3984">
      <c r="A3984" s="4" t="s">
        <v>7965</v>
      </c>
      <c r="B3984" s="4" t="s">
        <v>7966</v>
      </c>
    </row>
    <row r="3985">
      <c r="A3985" s="4" t="s">
        <v>7967</v>
      </c>
      <c r="B3985" s="4" t="s">
        <v>7968</v>
      </c>
    </row>
    <row r="3986">
      <c r="A3986" s="4" t="s">
        <v>7969</v>
      </c>
      <c r="B3986" s="4" t="s">
        <v>7970</v>
      </c>
    </row>
    <row r="3987">
      <c r="A3987" s="4" t="s">
        <v>7971</v>
      </c>
      <c r="B3987" s="4" t="s">
        <v>7972</v>
      </c>
    </row>
    <row r="3988">
      <c r="A3988" s="4" t="s">
        <v>7973</v>
      </c>
      <c r="B3988" s="4" t="s">
        <v>7974</v>
      </c>
    </row>
    <row r="3989">
      <c r="A3989" s="4" t="s">
        <v>7975</v>
      </c>
      <c r="B3989" s="4" t="s">
        <v>7976</v>
      </c>
    </row>
    <row r="3990">
      <c r="A3990" s="4" t="s">
        <v>7977</v>
      </c>
      <c r="B3990" s="4" t="s">
        <v>7978</v>
      </c>
    </row>
    <row r="3991">
      <c r="A3991" s="4" t="s">
        <v>7979</v>
      </c>
      <c r="B3991" s="4" t="s">
        <v>7980</v>
      </c>
    </row>
    <row r="3992">
      <c r="A3992" s="4" t="s">
        <v>7981</v>
      </c>
      <c r="B3992" s="4" t="s">
        <v>7982</v>
      </c>
    </row>
    <row r="3993">
      <c r="A3993" s="4" t="s">
        <v>7983</v>
      </c>
      <c r="B3993" s="4" t="s">
        <v>7984</v>
      </c>
    </row>
    <row r="3994">
      <c r="A3994" s="4" t="s">
        <v>7985</v>
      </c>
      <c r="B3994" s="4" t="s">
        <v>7986</v>
      </c>
    </row>
    <row r="3995">
      <c r="A3995" s="4" t="s">
        <v>7987</v>
      </c>
      <c r="B3995" s="4" t="s">
        <v>7988</v>
      </c>
    </row>
    <row r="3996">
      <c r="A3996" s="4" t="s">
        <v>7989</v>
      </c>
      <c r="B3996" s="4" t="s">
        <v>7990</v>
      </c>
    </row>
    <row r="3997">
      <c r="A3997" s="4" t="s">
        <v>7991</v>
      </c>
      <c r="B3997" s="4" t="s">
        <v>7992</v>
      </c>
    </row>
    <row r="3998">
      <c r="A3998" s="4" t="s">
        <v>7993</v>
      </c>
      <c r="B3998" s="4" t="s">
        <v>7994</v>
      </c>
    </row>
    <row r="3999">
      <c r="A3999" s="4" t="s">
        <v>7995</v>
      </c>
      <c r="B3999" s="4" t="s">
        <v>7996</v>
      </c>
    </row>
    <row r="4000">
      <c r="A4000" s="4" t="s">
        <v>7997</v>
      </c>
      <c r="B4000" s="4" t="s">
        <v>7998</v>
      </c>
    </row>
    <row r="4001">
      <c r="A4001" s="4" t="s">
        <v>7999</v>
      </c>
      <c r="B4001" s="4" t="s">
        <v>8000</v>
      </c>
    </row>
    <row r="4002">
      <c r="A4002" s="4" t="s">
        <v>8001</v>
      </c>
      <c r="B4002" s="4" t="s">
        <v>8002</v>
      </c>
    </row>
    <row r="4003">
      <c r="A4003" s="4" t="s">
        <v>8003</v>
      </c>
      <c r="B4003" s="4" t="s">
        <v>8004</v>
      </c>
    </row>
    <row r="4004">
      <c r="A4004" s="4" t="s">
        <v>8005</v>
      </c>
      <c r="B4004" s="4" t="s">
        <v>8006</v>
      </c>
    </row>
    <row r="4005">
      <c r="A4005" s="4" t="s">
        <v>8007</v>
      </c>
      <c r="B4005" s="4" t="s">
        <v>8008</v>
      </c>
    </row>
    <row r="4006">
      <c r="A4006" s="4" t="s">
        <v>8009</v>
      </c>
      <c r="B4006" s="4" t="s">
        <v>8010</v>
      </c>
    </row>
    <row r="4007">
      <c r="A4007" s="4" t="s">
        <v>8011</v>
      </c>
      <c r="B4007" s="4" t="s">
        <v>8012</v>
      </c>
    </row>
    <row r="4008">
      <c r="A4008" s="4" t="s">
        <v>8013</v>
      </c>
      <c r="B4008" s="4" t="s">
        <v>8014</v>
      </c>
    </row>
    <row r="4009">
      <c r="A4009" s="4" t="s">
        <v>8015</v>
      </c>
      <c r="B4009" s="4" t="s">
        <v>8016</v>
      </c>
    </row>
    <row r="4010">
      <c r="A4010" s="4" t="s">
        <v>8017</v>
      </c>
      <c r="B4010" s="4" t="s">
        <v>8018</v>
      </c>
    </row>
    <row r="4011">
      <c r="A4011" s="4" t="s">
        <v>8019</v>
      </c>
      <c r="B4011" s="4" t="s">
        <v>8020</v>
      </c>
    </row>
    <row r="4012">
      <c r="A4012" s="4" t="s">
        <v>8021</v>
      </c>
      <c r="B4012" s="4" t="s">
        <v>8022</v>
      </c>
    </row>
    <row r="4013">
      <c r="A4013" s="4" t="s">
        <v>8023</v>
      </c>
      <c r="B4013" s="4" t="s">
        <v>8024</v>
      </c>
    </row>
    <row r="4014">
      <c r="A4014" s="4" t="s">
        <v>8025</v>
      </c>
      <c r="B4014" s="4" t="s">
        <v>8026</v>
      </c>
    </row>
    <row r="4015">
      <c r="A4015" s="4" t="s">
        <v>8027</v>
      </c>
      <c r="B4015" s="4" t="s">
        <v>8028</v>
      </c>
    </row>
    <row r="4016">
      <c r="A4016" s="4" t="s">
        <v>8029</v>
      </c>
      <c r="B4016" s="4" t="s">
        <v>8030</v>
      </c>
    </row>
    <row r="4017">
      <c r="A4017" s="4" t="s">
        <v>8031</v>
      </c>
      <c r="B4017" s="4" t="s">
        <v>8032</v>
      </c>
    </row>
    <row r="4018">
      <c r="A4018" s="4" t="s">
        <v>8033</v>
      </c>
      <c r="B4018" s="4" t="s">
        <v>8034</v>
      </c>
    </row>
    <row r="4019">
      <c r="A4019" s="4" t="s">
        <v>8035</v>
      </c>
      <c r="B4019" s="4" t="s">
        <v>8036</v>
      </c>
    </row>
    <row r="4020">
      <c r="A4020" s="4" t="s">
        <v>8037</v>
      </c>
      <c r="B4020" s="4" t="s">
        <v>8038</v>
      </c>
    </row>
    <row r="4021">
      <c r="A4021" s="4" t="s">
        <v>8039</v>
      </c>
      <c r="B4021" s="4" t="s">
        <v>8040</v>
      </c>
    </row>
    <row r="4022">
      <c r="A4022" s="4" t="s">
        <v>8041</v>
      </c>
      <c r="B4022" s="4" t="s">
        <v>8042</v>
      </c>
    </row>
    <row r="4023">
      <c r="A4023" s="4" t="s">
        <v>8043</v>
      </c>
      <c r="B4023" s="4" t="s">
        <v>8044</v>
      </c>
    </row>
    <row r="4024">
      <c r="A4024" s="4" t="s">
        <v>8045</v>
      </c>
      <c r="B4024" s="4" t="s">
        <v>8046</v>
      </c>
    </row>
    <row r="4025">
      <c r="A4025" s="4" t="s">
        <v>8047</v>
      </c>
      <c r="B4025" s="4" t="s">
        <v>8048</v>
      </c>
    </row>
    <row r="4026">
      <c r="A4026" s="4" t="s">
        <v>8049</v>
      </c>
      <c r="B4026" s="4" t="s">
        <v>8050</v>
      </c>
    </row>
    <row r="4027">
      <c r="A4027" s="4" t="s">
        <v>8051</v>
      </c>
      <c r="B4027" s="4" t="s">
        <v>8052</v>
      </c>
    </row>
    <row r="4028">
      <c r="A4028" s="4" t="s">
        <v>8053</v>
      </c>
      <c r="B4028" s="4" t="s">
        <v>8054</v>
      </c>
    </row>
    <row r="4029">
      <c r="A4029" s="4" t="s">
        <v>8055</v>
      </c>
      <c r="B4029" s="4" t="s">
        <v>8056</v>
      </c>
    </row>
    <row r="4030">
      <c r="A4030" s="4" t="s">
        <v>8057</v>
      </c>
      <c r="B4030" s="4" t="s">
        <v>8058</v>
      </c>
    </row>
    <row r="4031">
      <c r="A4031" s="4" t="s">
        <v>8059</v>
      </c>
      <c r="B4031" s="4" t="s">
        <v>8060</v>
      </c>
    </row>
    <row r="4032">
      <c r="A4032" s="4" t="s">
        <v>8061</v>
      </c>
      <c r="B4032" s="4" t="s">
        <v>8062</v>
      </c>
    </row>
    <row r="4033">
      <c r="A4033" s="4" t="s">
        <v>8063</v>
      </c>
      <c r="B4033" s="4" t="s">
        <v>8064</v>
      </c>
    </row>
    <row r="4034">
      <c r="A4034" s="4" t="s">
        <v>8065</v>
      </c>
      <c r="B4034" s="4" t="s">
        <v>8066</v>
      </c>
    </row>
    <row r="4035">
      <c r="A4035" s="4" t="s">
        <v>8067</v>
      </c>
      <c r="B4035" s="4" t="s">
        <v>8068</v>
      </c>
    </row>
    <row r="4036">
      <c r="A4036" s="4" t="s">
        <v>8069</v>
      </c>
      <c r="B4036" s="4" t="s">
        <v>8070</v>
      </c>
    </row>
    <row r="4037">
      <c r="A4037" s="4" t="s">
        <v>8071</v>
      </c>
      <c r="B4037" s="4" t="s">
        <v>8072</v>
      </c>
    </row>
    <row r="4038">
      <c r="A4038" s="4" t="s">
        <v>8073</v>
      </c>
      <c r="B4038" s="4" t="s">
        <v>8074</v>
      </c>
    </row>
    <row r="4039">
      <c r="A4039" s="4" t="s">
        <v>8075</v>
      </c>
      <c r="B4039" s="4" t="s">
        <v>8076</v>
      </c>
    </row>
    <row r="4040">
      <c r="A4040" s="4" t="s">
        <v>8077</v>
      </c>
      <c r="B4040" s="4" t="s">
        <v>8078</v>
      </c>
    </row>
    <row r="4041">
      <c r="A4041" s="4" t="s">
        <v>8079</v>
      </c>
      <c r="B4041" s="4" t="s">
        <v>8080</v>
      </c>
    </row>
    <row r="4042">
      <c r="A4042" s="4" t="s">
        <v>8081</v>
      </c>
      <c r="B4042" s="4" t="s">
        <v>8082</v>
      </c>
    </row>
    <row r="4043">
      <c r="A4043" s="4" t="s">
        <v>8083</v>
      </c>
      <c r="B4043" s="4" t="s">
        <v>8084</v>
      </c>
    </row>
    <row r="4044">
      <c r="A4044" s="4" t="s">
        <v>8085</v>
      </c>
      <c r="B4044" s="4" t="s">
        <v>8086</v>
      </c>
    </row>
    <row r="4045">
      <c r="A4045" s="4" t="s">
        <v>8087</v>
      </c>
      <c r="B4045" s="4" t="s">
        <v>8088</v>
      </c>
    </row>
    <row r="4046">
      <c r="A4046" s="4" t="s">
        <v>8089</v>
      </c>
      <c r="B4046" s="4" t="s">
        <v>8090</v>
      </c>
    </row>
    <row r="4047">
      <c r="A4047" s="4" t="s">
        <v>8091</v>
      </c>
      <c r="B4047" s="4" t="s">
        <v>8092</v>
      </c>
    </row>
    <row r="4048">
      <c r="A4048" s="4" t="s">
        <v>8093</v>
      </c>
      <c r="B4048" s="4" t="s">
        <v>8094</v>
      </c>
    </row>
    <row r="4049">
      <c r="A4049" s="4" t="s">
        <v>8095</v>
      </c>
      <c r="B4049" s="4" t="s">
        <v>8096</v>
      </c>
    </row>
    <row r="4050">
      <c r="A4050" s="4" t="s">
        <v>8097</v>
      </c>
      <c r="B4050" s="4" t="s">
        <v>8098</v>
      </c>
    </row>
    <row r="4051">
      <c r="A4051" s="4" t="s">
        <v>8099</v>
      </c>
      <c r="B4051" s="4" t="s">
        <v>8100</v>
      </c>
    </row>
    <row r="4052">
      <c r="A4052" s="4" t="s">
        <v>8101</v>
      </c>
      <c r="B4052" s="4" t="s">
        <v>8102</v>
      </c>
    </row>
    <row r="4053">
      <c r="A4053" s="4" t="s">
        <v>8103</v>
      </c>
      <c r="B4053" s="4" t="s">
        <v>8104</v>
      </c>
    </row>
    <row r="4054">
      <c r="A4054" s="4" t="s">
        <v>8105</v>
      </c>
      <c r="B4054" s="4" t="s">
        <v>8106</v>
      </c>
    </row>
    <row r="4055">
      <c r="A4055" s="4" t="s">
        <v>8107</v>
      </c>
      <c r="B4055" s="4" t="s">
        <v>8108</v>
      </c>
    </row>
    <row r="4056">
      <c r="A4056" s="4" t="s">
        <v>8109</v>
      </c>
      <c r="B4056" s="4" t="s">
        <v>8110</v>
      </c>
    </row>
    <row r="4057">
      <c r="A4057" s="4" t="s">
        <v>8111</v>
      </c>
      <c r="B4057" s="4" t="s">
        <v>8112</v>
      </c>
    </row>
    <row r="4058">
      <c r="A4058" s="4" t="s">
        <v>8113</v>
      </c>
      <c r="B4058" s="4" t="s">
        <v>8114</v>
      </c>
    </row>
    <row r="4059">
      <c r="A4059" s="4" t="s">
        <v>8115</v>
      </c>
      <c r="B4059" s="4" t="s">
        <v>8116</v>
      </c>
    </row>
    <row r="4060">
      <c r="A4060" s="4" t="s">
        <v>8117</v>
      </c>
      <c r="B4060" s="4" t="s">
        <v>8118</v>
      </c>
    </row>
    <row r="4061">
      <c r="A4061" s="4" t="s">
        <v>8119</v>
      </c>
      <c r="B4061" s="4" t="s">
        <v>8120</v>
      </c>
    </row>
    <row r="4062">
      <c r="A4062" s="4" t="s">
        <v>8121</v>
      </c>
      <c r="B4062" s="4" t="s">
        <v>8122</v>
      </c>
    </row>
    <row r="4063">
      <c r="A4063" s="4" t="s">
        <v>8123</v>
      </c>
      <c r="B4063" s="4" t="s">
        <v>8124</v>
      </c>
    </row>
    <row r="4064">
      <c r="A4064" s="4" t="s">
        <v>8125</v>
      </c>
      <c r="B4064" s="4" t="s">
        <v>8126</v>
      </c>
    </row>
    <row r="4065">
      <c r="A4065" s="4" t="s">
        <v>8127</v>
      </c>
      <c r="B4065" s="4" t="s">
        <v>8128</v>
      </c>
    </row>
    <row r="4066">
      <c r="A4066" s="4" t="s">
        <v>8129</v>
      </c>
      <c r="B4066" s="4" t="s">
        <v>8130</v>
      </c>
    </row>
    <row r="4067">
      <c r="A4067" s="4" t="s">
        <v>8131</v>
      </c>
      <c r="B4067" s="4" t="s">
        <v>8132</v>
      </c>
    </row>
    <row r="4068">
      <c r="A4068" s="4" t="s">
        <v>8133</v>
      </c>
      <c r="B4068" s="4" t="s">
        <v>8134</v>
      </c>
    </row>
    <row r="4069">
      <c r="A4069" s="4" t="s">
        <v>8135</v>
      </c>
      <c r="B4069" s="4" t="s">
        <v>8136</v>
      </c>
    </row>
    <row r="4070">
      <c r="A4070" s="4" t="s">
        <v>8137</v>
      </c>
      <c r="B4070" s="4" t="s">
        <v>8138</v>
      </c>
    </row>
    <row r="4071">
      <c r="A4071" s="4" t="s">
        <v>8139</v>
      </c>
      <c r="B4071" s="4" t="s">
        <v>8140</v>
      </c>
    </row>
    <row r="4072">
      <c r="A4072" s="4" t="s">
        <v>8141</v>
      </c>
      <c r="B4072" s="4" t="s">
        <v>8142</v>
      </c>
    </row>
    <row r="4073">
      <c r="A4073" s="4" t="s">
        <v>8143</v>
      </c>
      <c r="B4073" s="4" t="s">
        <v>8144</v>
      </c>
    </row>
    <row r="4074">
      <c r="A4074" s="4" t="s">
        <v>8145</v>
      </c>
      <c r="B4074" s="4" t="s">
        <v>8146</v>
      </c>
    </row>
    <row r="4075">
      <c r="A4075" s="4" t="s">
        <v>8147</v>
      </c>
      <c r="B4075" s="4" t="s">
        <v>8148</v>
      </c>
    </row>
    <row r="4076">
      <c r="A4076" s="4" t="s">
        <v>8149</v>
      </c>
      <c r="B4076" s="4" t="s">
        <v>8150</v>
      </c>
    </row>
    <row r="4077">
      <c r="A4077" s="4" t="s">
        <v>8151</v>
      </c>
      <c r="B4077" s="4" t="s">
        <v>8152</v>
      </c>
    </row>
    <row r="4078">
      <c r="A4078" s="4" t="s">
        <v>8153</v>
      </c>
      <c r="B4078" s="4" t="s">
        <v>8154</v>
      </c>
    </row>
    <row r="4079">
      <c r="A4079" s="4" t="s">
        <v>8155</v>
      </c>
      <c r="B4079" s="4" t="s">
        <v>8156</v>
      </c>
    </row>
    <row r="4080">
      <c r="A4080" s="4" t="s">
        <v>8157</v>
      </c>
      <c r="B4080" s="4" t="s">
        <v>8158</v>
      </c>
    </row>
    <row r="4081">
      <c r="A4081" s="4" t="s">
        <v>8159</v>
      </c>
      <c r="B4081" s="4" t="s">
        <v>8160</v>
      </c>
    </row>
    <row r="4082">
      <c r="A4082" s="4" t="s">
        <v>8161</v>
      </c>
      <c r="B4082" s="4" t="s">
        <v>8162</v>
      </c>
    </row>
    <row r="4083">
      <c r="A4083" s="4" t="s">
        <v>8163</v>
      </c>
      <c r="B4083" s="4" t="s">
        <v>8164</v>
      </c>
    </row>
    <row r="4084">
      <c r="A4084" s="4" t="s">
        <v>8165</v>
      </c>
      <c r="B4084" s="4" t="s">
        <v>8166</v>
      </c>
    </row>
    <row r="4085">
      <c r="A4085" s="4" t="s">
        <v>8167</v>
      </c>
      <c r="B4085" s="4" t="s">
        <v>8168</v>
      </c>
    </row>
    <row r="4086">
      <c r="A4086" s="4" t="s">
        <v>8169</v>
      </c>
      <c r="B4086" s="4" t="s">
        <v>8170</v>
      </c>
    </row>
    <row r="4087">
      <c r="A4087" s="4" t="s">
        <v>8171</v>
      </c>
      <c r="B4087" s="4" t="s">
        <v>8172</v>
      </c>
    </row>
    <row r="4088">
      <c r="A4088" s="4" t="s">
        <v>8173</v>
      </c>
      <c r="B4088" s="4" t="s">
        <v>8174</v>
      </c>
    </row>
    <row r="4089">
      <c r="A4089" s="4" t="s">
        <v>8175</v>
      </c>
      <c r="B4089" s="4" t="s">
        <v>8176</v>
      </c>
    </row>
    <row r="4090">
      <c r="A4090" s="4" t="s">
        <v>8177</v>
      </c>
      <c r="B4090" s="4" t="s">
        <v>8178</v>
      </c>
    </row>
    <row r="4091">
      <c r="A4091" s="4" t="s">
        <v>8179</v>
      </c>
      <c r="B4091" s="4" t="s">
        <v>8180</v>
      </c>
    </row>
    <row r="4092">
      <c r="A4092" s="4" t="s">
        <v>8181</v>
      </c>
      <c r="B4092" s="4" t="s">
        <v>8182</v>
      </c>
    </row>
    <row r="4093">
      <c r="A4093" s="4" t="s">
        <v>8183</v>
      </c>
      <c r="B4093" s="4" t="s">
        <v>8184</v>
      </c>
    </row>
    <row r="4094">
      <c r="A4094" s="4" t="s">
        <v>8185</v>
      </c>
      <c r="B4094" s="4" t="s">
        <v>8186</v>
      </c>
    </row>
    <row r="4095">
      <c r="A4095" s="4" t="s">
        <v>8187</v>
      </c>
      <c r="B4095" s="4" t="s">
        <v>8188</v>
      </c>
    </row>
    <row r="4096">
      <c r="A4096" s="4" t="s">
        <v>8189</v>
      </c>
      <c r="B4096" s="4" t="s">
        <v>8190</v>
      </c>
    </row>
    <row r="4097">
      <c r="A4097" s="4" t="s">
        <v>8191</v>
      </c>
      <c r="B4097" s="4" t="s">
        <v>8192</v>
      </c>
    </row>
    <row r="4098">
      <c r="A4098" s="4" t="s">
        <v>8193</v>
      </c>
      <c r="B4098" s="4" t="s">
        <v>8194</v>
      </c>
    </row>
    <row r="4099">
      <c r="A4099" s="4" t="s">
        <v>8195</v>
      </c>
      <c r="B4099" s="4" t="s">
        <v>8196</v>
      </c>
    </row>
    <row r="4100">
      <c r="A4100" s="4" t="s">
        <v>8197</v>
      </c>
      <c r="B4100" s="4" t="s">
        <v>8198</v>
      </c>
    </row>
    <row r="4101">
      <c r="A4101" s="4" t="s">
        <v>8199</v>
      </c>
      <c r="B4101" s="4" t="s">
        <v>8200</v>
      </c>
    </row>
    <row r="4102">
      <c r="A4102" s="4" t="s">
        <v>8201</v>
      </c>
      <c r="B4102" s="4" t="s">
        <v>8202</v>
      </c>
    </row>
    <row r="4103">
      <c r="A4103" s="4" t="s">
        <v>8203</v>
      </c>
      <c r="B4103" s="4" t="s">
        <v>8204</v>
      </c>
    </row>
    <row r="4104">
      <c r="A4104" s="4" t="s">
        <v>8205</v>
      </c>
      <c r="B4104" s="4" t="s">
        <v>8206</v>
      </c>
    </row>
    <row r="4105">
      <c r="A4105" s="4" t="s">
        <v>8207</v>
      </c>
      <c r="B4105" s="4" t="s">
        <v>8208</v>
      </c>
    </row>
    <row r="4106">
      <c r="A4106" s="4" t="s">
        <v>8209</v>
      </c>
      <c r="B4106" s="4" t="s">
        <v>8210</v>
      </c>
    </row>
    <row r="4107">
      <c r="A4107" s="4" t="s">
        <v>8211</v>
      </c>
      <c r="B4107" s="4" t="s">
        <v>8212</v>
      </c>
    </row>
    <row r="4108">
      <c r="A4108" s="4" t="s">
        <v>8213</v>
      </c>
      <c r="B4108" s="4" t="s">
        <v>8214</v>
      </c>
    </row>
    <row r="4109">
      <c r="A4109" s="4" t="s">
        <v>8215</v>
      </c>
      <c r="B4109" s="4" t="s">
        <v>8216</v>
      </c>
    </row>
    <row r="4110">
      <c r="A4110" s="4" t="s">
        <v>8217</v>
      </c>
      <c r="B4110" s="4" t="s">
        <v>8218</v>
      </c>
    </row>
    <row r="4111">
      <c r="A4111" s="4" t="s">
        <v>8219</v>
      </c>
      <c r="B4111" s="4" t="s">
        <v>8220</v>
      </c>
    </row>
    <row r="4112">
      <c r="A4112" s="4" t="s">
        <v>8221</v>
      </c>
      <c r="B4112" s="4" t="s">
        <v>8222</v>
      </c>
    </row>
    <row r="4113">
      <c r="A4113" s="4" t="s">
        <v>8223</v>
      </c>
      <c r="B4113" s="4" t="s">
        <v>8224</v>
      </c>
    </row>
    <row r="4114">
      <c r="A4114" s="4" t="s">
        <v>8225</v>
      </c>
      <c r="B4114" s="4" t="s">
        <v>8226</v>
      </c>
    </row>
    <row r="4115">
      <c r="A4115" s="4" t="s">
        <v>8227</v>
      </c>
      <c r="B4115" s="4" t="s">
        <v>8228</v>
      </c>
    </row>
    <row r="4116">
      <c r="A4116" s="4" t="s">
        <v>8229</v>
      </c>
      <c r="B4116" s="4" t="s">
        <v>8230</v>
      </c>
    </row>
    <row r="4117">
      <c r="A4117" s="4" t="s">
        <v>8231</v>
      </c>
      <c r="B4117" s="4" t="s">
        <v>8232</v>
      </c>
    </row>
    <row r="4118">
      <c r="A4118" s="4" t="s">
        <v>8233</v>
      </c>
      <c r="B4118" s="4" t="s">
        <v>8234</v>
      </c>
    </row>
    <row r="4119">
      <c r="A4119" s="4" t="s">
        <v>8235</v>
      </c>
      <c r="B4119" s="4" t="s">
        <v>8236</v>
      </c>
    </row>
    <row r="4120">
      <c r="A4120" s="4" t="s">
        <v>8237</v>
      </c>
      <c r="B4120" s="4" t="s">
        <v>8238</v>
      </c>
    </row>
    <row r="4121">
      <c r="A4121" s="4" t="s">
        <v>8239</v>
      </c>
      <c r="B4121" s="4" t="s">
        <v>8240</v>
      </c>
    </row>
    <row r="4122">
      <c r="A4122" s="4" t="s">
        <v>8241</v>
      </c>
      <c r="B4122" s="4" t="s">
        <v>8242</v>
      </c>
    </row>
    <row r="4123">
      <c r="A4123" s="4" t="s">
        <v>8243</v>
      </c>
      <c r="B4123" s="4" t="s">
        <v>8244</v>
      </c>
    </row>
    <row r="4124">
      <c r="A4124" s="4" t="s">
        <v>8245</v>
      </c>
      <c r="B4124" s="4" t="s">
        <v>8246</v>
      </c>
    </row>
    <row r="4125">
      <c r="A4125" s="4" t="s">
        <v>8247</v>
      </c>
      <c r="B4125" s="4" t="s">
        <v>8248</v>
      </c>
    </row>
    <row r="4126">
      <c r="A4126" s="4" t="s">
        <v>8249</v>
      </c>
      <c r="B4126" s="4" t="s">
        <v>8250</v>
      </c>
    </row>
    <row r="4127">
      <c r="A4127" s="4" t="s">
        <v>8251</v>
      </c>
      <c r="B4127" s="4" t="s">
        <v>8252</v>
      </c>
    </row>
    <row r="4128">
      <c r="A4128" s="4" t="s">
        <v>8253</v>
      </c>
      <c r="B4128" s="4" t="s">
        <v>8254</v>
      </c>
    </row>
    <row r="4129">
      <c r="A4129" s="4" t="s">
        <v>8255</v>
      </c>
      <c r="B4129" s="4" t="s">
        <v>8256</v>
      </c>
    </row>
    <row r="4130">
      <c r="A4130" s="4" t="s">
        <v>8257</v>
      </c>
      <c r="B4130" s="4" t="s">
        <v>8258</v>
      </c>
    </row>
    <row r="4131">
      <c r="A4131" s="4" t="s">
        <v>8259</v>
      </c>
      <c r="B4131" s="4" t="s">
        <v>8260</v>
      </c>
    </row>
    <row r="4132">
      <c r="A4132" s="4" t="s">
        <v>8261</v>
      </c>
      <c r="B4132" s="4" t="s">
        <v>8262</v>
      </c>
    </row>
    <row r="4133">
      <c r="A4133" s="4" t="s">
        <v>8263</v>
      </c>
      <c r="B4133" s="4" t="s">
        <v>8264</v>
      </c>
    </row>
    <row r="4134">
      <c r="A4134" s="4" t="s">
        <v>8265</v>
      </c>
      <c r="B4134" s="4" t="s">
        <v>8266</v>
      </c>
    </row>
    <row r="4135">
      <c r="A4135" s="4" t="s">
        <v>8267</v>
      </c>
      <c r="B4135" s="4" t="s">
        <v>8268</v>
      </c>
    </row>
    <row r="4136">
      <c r="A4136" s="4" t="s">
        <v>8269</v>
      </c>
      <c r="B4136" s="4" t="s">
        <v>8270</v>
      </c>
    </row>
    <row r="4137">
      <c r="A4137" s="4" t="s">
        <v>8271</v>
      </c>
      <c r="B4137" s="4" t="s">
        <v>8272</v>
      </c>
    </row>
    <row r="4138">
      <c r="A4138" s="4" t="s">
        <v>8273</v>
      </c>
      <c r="B4138" s="4" t="s">
        <v>8274</v>
      </c>
    </row>
    <row r="4139">
      <c r="A4139" s="4" t="s">
        <v>8275</v>
      </c>
      <c r="B4139" s="4" t="s">
        <v>8276</v>
      </c>
    </row>
    <row r="4140">
      <c r="A4140" s="4" t="s">
        <v>8277</v>
      </c>
      <c r="B4140" s="4" t="s">
        <v>8278</v>
      </c>
    </row>
    <row r="4141">
      <c r="A4141" s="4" t="s">
        <v>8279</v>
      </c>
      <c r="B4141" s="4" t="s">
        <v>8280</v>
      </c>
    </row>
    <row r="4142">
      <c r="A4142" s="4" t="s">
        <v>8281</v>
      </c>
      <c r="B4142" s="4" t="s">
        <v>8282</v>
      </c>
    </row>
    <row r="4143">
      <c r="A4143" s="4" t="s">
        <v>8283</v>
      </c>
      <c r="B4143" s="4" t="s">
        <v>8284</v>
      </c>
    </row>
    <row r="4144">
      <c r="A4144" s="4" t="s">
        <v>8285</v>
      </c>
      <c r="B4144" s="4" t="s">
        <v>8286</v>
      </c>
    </row>
    <row r="4145">
      <c r="A4145" s="4" t="s">
        <v>8287</v>
      </c>
      <c r="B4145" s="4" t="s">
        <v>8288</v>
      </c>
    </row>
    <row r="4146">
      <c r="A4146" s="4" t="s">
        <v>8289</v>
      </c>
      <c r="B4146" s="4" t="s">
        <v>8290</v>
      </c>
    </row>
    <row r="4147">
      <c r="A4147" s="4" t="s">
        <v>8291</v>
      </c>
      <c r="B4147" s="4" t="s">
        <v>8292</v>
      </c>
    </row>
    <row r="4148">
      <c r="A4148" s="4" t="s">
        <v>8293</v>
      </c>
      <c r="B4148" s="4" t="s">
        <v>8294</v>
      </c>
    </row>
    <row r="4149">
      <c r="A4149" s="4" t="s">
        <v>8295</v>
      </c>
      <c r="B4149" s="4" t="s">
        <v>8296</v>
      </c>
    </row>
    <row r="4150">
      <c r="A4150" s="4" t="s">
        <v>8297</v>
      </c>
      <c r="B4150" s="4" t="s">
        <v>8298</v>
      </c>
    </row>
    <row r="4151">
      <c r="A4151" s="4" t="s">
        <v>8299</v>
      </c>
      <c r="B4151" s="4" t="s">
        <v>8300</v>
      </c>
    </row>
    <row r="4152">
      <c r="A4152" s="4" t="s">
        <v>8301</v>
      </c>
      <c r="B4152" s="4" t="s">
        <v>8302</v>
      </c>
    </row>
    <row r="4153">
      <c r="A4153" s="4" t="s">
        <v>8303</v>
      </c>
      <c r="B4153" s="4" t="s">
        <v>8304</v>
      </c>
    </row>
    <row r="4154">
      <c r="A4154" s="4" t="s">
        <v>8305</v>
      </c>
      <c r="B4154" s="4" t="s">
        <v>8306</v>
      </c>
    </row>
    <row r="4155">
      <c r="A4155" s="4" t="s">
        <v>8307</v>
      </c>
      <c r="B4155" s="4" t="s">
        <v>8308</v>
      </c>
    </row>
    <row r="4156">
      <c r="A4156" s="4" t="s">
        <v>8309</v>
      </c>
      <c r="B4156" s="4" t="s">
        <v>8310</v>
      </c>
    </row>
    <row r="4157">
      <c r="A4157" s="4" t="s">
        <v>8311</v>
      </c>
      <c r="B4157" s="4" t="s">
        <v>8312</v>
      </c>
    </row>
    <row r="4158">
      <c r="A4158" s="4" t="s">
        <v>8313</v>
      </c>
      <c r="B4158" s="4" t="s">
        <v>8314</v>
      </c>
    </row>
    <row r="4159">
      <c r="A4159" s="4" t="s">
        <v>8315</v>
      </c>
      <c r="B4159" s="4" t="s">
        <v>8316</v>
      </c>
    </row>
    <row r="4160">
      <c r="A4160" s="4" t="s">
        <v>8317</v>
      </c>
      <c r="B4160" s="4" t="s">
        <v>8318</v>
      </c>
    </row>
    <row r="4161">
      <c r="A4161" s="4" t="s">
        <v>8319</v>
      </c>
      <c r="B4161" s="4" t="s">
        <v>8320</v>
      </c>
    </row>
    <row r="4162">
      <c r="A4162" s="4" t="s">
        <v>8321</v>
      </c>
      <c r="B4162" s="4" t="s">
        <v>8322</v>
      </c>
    </row>
    <row r="4163">
      <c r="A4163" s="4" t="s">
        <v>8323</v>
      </c>
      <c r="B4163" s="4" t="s">
        <v>8324</v>
      </c>
    </row>
    <row r="4164">
      <c r="A4164" s="4" t="s">
        <v>8325</v>
      </c>
      <c r="B4164" s="4" t="s">
        <v>8326</v>
      </c>
    </row>
    <row r="4165">
      <c r="A4165" s="4" t="s">
        <v>8327</v>
      </c>
      <c r="B4165" s="4" t="s">
        <v>8328</v>
      </c>
    </row>
    <row r="4166">
      <c r="A4166" s="4" t="s">
        <v>8329</v>
      </c>
      <c r="B4166" s="4" t="s">
        <v>8330</v>
      </c>
    </row>
    <row r="4167">
      <c r="A4167" s="4" t="s">
        <v>8331</v>
      </c>
      <c r="B4167" s="4" t="s">
        <v>8332</v>
      </c>
    </row>
    <row r="4168">
      <c r="A4168" s="4" t="s">
        <v>8333</v>
      </c>
      <c r="B4168" s="4" t="s">
        <v>8334</v>
      </c>
    </row>
    <row r="4169">
      <c r="A4169" s="4" t="s">
        <v>8335</v>
      </c>
      <c r="B4169" s="4" t="s">
        <v>8336</v>
      </c>
    </row>
    <row r="4170">
      <c r="A4170" s="4" t="s">
        <v>8337</v>
      </c>
      <c r="B4170" s="4" t="s">
        <v>8338</v>
      </c>
    </row>
    <row r="4171">
      <c r="A4171" s="4" t="s">
        <v>8339</v>
      </c>
      <c r="B4171" s="4" t="s">
        <v>8340</v>
      </c>
    </row>
    <row r="4172">
      <c r="A4172" s="4" t="s">
        <v>8341</v>
      </c>
      <c r="B4172" s="4" t="s">
        <v>8342</v>
      </c>
    </row>
    <row r="4173">
      <c r="A4173" s="4" t="s">
        <v>8343</v>
      </c>
      <c r="B4173" s="4" t="s">
        <v>8344</v>
      </c>
    </row>
    <row r="4174">
      <c r="A4174" s="4" t="s">
        <v>8345</v>
      </c>
      <c r="B4174" s="4" t="s">
        <v>8346</v>
      </c>
    </row>
    <row r="4175">
      <c r="A4175" s="4" t="s">
        <v>8347</v>
      </c>
      <c r="B4175" s="4" t="s">
        <v>8348</v>
      </c>
    </row>
    <row r="4176">
      <c r="A4176" s="4" t="s">
        <v>8349</v>
      </c>
      <c r="B4176" s="4" t="s">
        <v>8350</v>
      </c>
    </row>
    <row r="4177">
      <c r="A4177" s="4" t="s">
        <v>8351</v>
      </c>
      <c r="B4177" s="4" t="s">
        <v>8352</v>
      </c>
    </row>
    <row r="4178">
      <c r="A4178" s="4" t="s">
        <v>8353</v>
      </c>
      <c r="B4178" s="4" t="s">
        <v>8354</v>
      </c>
    </row>
    <row r="4179">
      <c r="A4179" s="4" t="s">
        <v>8355</v>
      </c>
      <c r="B4179" s="4" t="s">
        <v>8356</v>
      </c>
    </row>
    <row r="4180">
      <c r="A4180" s="4" t="s">
        <v>8357</v>
      </c>
      <c r="B4180" s="4" t="s">
        <v>8358</v>
      </c>
    </row>
    <row r="4181">
      <c r="A4181" s="4" t="s">
        <v>8359</v>
      </c>
      <c r="B4181" s="4" t="s">
        <v>8360</v>
      </c>
    </row>
    <row r="4182">
      <c r="A4182" s="4" t="s">
        <v>8361</v>
      </c>
      <c r="B4182" s="4" t="s">
        <v>8362</v>
      </c>
    </row>
    <row r="4183">
      <c r="A4183" s="4" t="s">
        <v>8363</v>
      </c>
      <c r="B4183" s="4" t="s">
        <v>8364</v>
      </c>
    </row>
    <row r="4184">
      <c r="A4184" s="4" t="s">
        <v>8365</v>
      </c>
      <c r="B4184" s="4" t="s">
        <v>8366</v>
      </c>
    </row>
    <row r="4185">
      <c r="A4185" s="4" t="s">
        <v>8367</v>
      </c>
      <c r="B4185" s="4" t="s">
        <v>8368</v>
      </c>
    </row>
    <row r="4186">
      <c r="A4186" s="4" t="s">
        <v>8369</v>
      </c>
      <c r="B4186" s="4" t="s">
        <v>8370</v>
      </c>
    </row>
    <row r="4187">
      <c r="A4187" s="4" t="s">
        <v>8371</v>
      </c>
      <c r="B4187" s="4" t="s">
        <v>8372</v>
      </c>
    </row>
    <row r="4188">
      <c r="A4188" s="4" t="s">
        <v>8373</v>
      </c>
      <c r="B4188" s="4" t="s">
        <v>8374</v>
      </c>
    </row>
    <row r="4189">
      <c r="A4189" s="4" t="s">
        <v>8375</v>
      </c>
      <c r="B4189" s="4" t="s">
        <v>8376</v>
      </c>
    </row>
    <row r="4190">
      <c r="A4190" s="4" t="s">
        <v>8377</v>
      </c>
      <c r="B4190" s="4" t="s">
        <v>8378</v>
      </c>
    </row>
    <row r="4191">
      <c r="A4191" s="4" t="s">
        <v>8379</v>
      </c>
      <c r="B4191" s="4" t="s">
        <v>8380</v>
      </c>
    </row>
    <row r="4192">
      <c r="A4192" s="4" t="s">
        <v>8381</v>
      </c>
      <c r="B4192" s="4" t="s">
        <v>8382</v>
      </c>
    </row>
    <row r="4193">
      <c r="A4193" s="4" t="s">
        <v>8383</v>
      </c>
      <c r="B4193" s="4" t="s">
        <v>8384</v>
      </c>
    </row>
    <row r="4194">
      <c r="A4194" s="4" t="s">
        <v>8385</v>
      </c>
      <c r="B4194" s="4" t="s">
        <v>8386</v>
      </c>
    </row>
    <row r="4195">
      <c r="A4195" s="4" t="s">
        <v>8387</v>
      </c>
      <c r="B4195" s="4" t="s">
        <v>8388</v>
      </c>
    </row>
    <row r="4196">
      <c r="A4196" s="4" t="s">
        <v>8389</v>
      </c>
      <c r="B4196" s="4" t="s">
        <v>8390</v>
      </c>
    </row>
    <row r="4197">
      <c r="A4197" s="4" t="s">
        <v>8391</v>
      </c>
      <c r="B4197" s="4" t="s">
        <v>8392</v>
      </c>
    </row>
    <row r="4198">
      <c r="A4198" s="4" t="s">
        <v>8393</v>
      </c>
      <c r="B4198" s="4" t="s">
        <v>8394</v>
      </c>
    </row>
    <row r="4199">
      <c r="A4199" s="4" t="s">
        <v>8395</v>
      </c>
      <c r="B4199" s="4" t="s">
        <v>8396</v>
      </c>
    </row>
    <row r="4200">
      <c r="A4200" s="4" t="s">
        <v>8397</v>
      </c>
      <c r="B4200" s="4" t="s">
        <v>8398</v>
      </c>
    </row>
    <row r="4201">
      <c r="A4201" s="4" t="s">
        <v>8399</v>
      </c>
      <c r="B4201" s="4" t="s">
        <v>8400</v>
      </c>
    </row>
    <row r="4202">
      <c r="A4202" s="4" t="s">
        <v>8401</v>
      </c>
      <c r="B4202" s="4" t="s">
        <v>8402</v>
      </c>
    </row>
    <row r="4203">
      <c r="A4203" s="4" t="s">
        <v>8403</v>
      </c>
      <c r="B4203" s="4" t="s">
        <v>8404</v>
      </c>
    </row>
    <row r="4204">
      <c r="A4204" s="4" t="s">
        <v>8405</v>
      </c>
      <c r="B4204" s="4" t="s">
        <v>8406</v>
      </c>
    </row>
    <row r="4205">
      <c r="A4205" s="4" t="s">
        <v>8407</v>
      </c>
      <c r="B4205" s="4" t="s">
        <v>8408</v>
      </c>
    </row>
    <row r="4206">
      <c r="A4206" s="4" t="s">
        <v>8409</v>
      </c>
      <c r="B4206" s="4" t="s">
        <v>8410</v>
      </c>
    </row>
    <row r="4207">
      <c r="A4207" s="4" t="s">
        <v>8411</v>
      </c>
      <c r="B4207" s="4" t="s">
        <v>8412</v>
      </c>
    </row>
    <row r="4208">
      <c r="A4208" s="4" t="s">
        <v>8413</v>
      </c>
      <c r="B4208" s="4" t="s">
        <v>8414</v>
      </c>
    </row>
    <row r="4209">
      <c r="A4209" s="4" t="s">
        <v>8415</v>
      </c>
      <c r="B4209" s="4" t="s">
        <v>8416</v>
      </c>
    </row>
    <row r="4210">
      <c r="A4210" s="4" t="s">
        <v>8417</v>
      </c>
      <c r="B4210" s="4" t="s">
        <v>8418</v>
      </c>
    </row>
    <row r="4211">
      <c r="A4211" s="4" t="s">
        <v>8419</v>
      </c>
      <c r="B4211" s="4" t="s">
        <v>8420</v>
      </c>
    </row>
    <row r="4212">
      <c r="A4212" s="4" t="s">
        <v>8421</v>
      </c>
      <c r="B4212" s="4" t="s">
        <v>8422</v>
      </c>
    </row>
    <row r="4213">
      <c r="A4213" s="4" t="s">
        <v>8423</v>
      </c>
      <c r="B4213" s="4" t="s">
        <v>8424</v>
      </c>
    </row>
    <row r="4214">
      <c r="A4214" s="4" t="s">
        <v>8425</v>
      </c>
      <c r="B4214" s="4" t="s">
        <v>8426</v>
      </c>
    </row>
    <row r="4215">
      <c r="A4215" s="4" t="s">
        <v>8427</v>
      </c>
      <c r="B4215" s="4" t="s">
        <v>8428</v>
      </c>
    </row>
    <row r="4216">
      <c r="A4216" s="4" t="s">
        <v>8429</v>
      </c>
      <c r="B4216" s="4" t="s">
        <v>8430</v>
      </c>
    </row>
    <row r="4217">
      <c r="A4217" s="4" t="s">
        <v>8431</v>
      </c>
      <c r="B4217" s="4" t="s">
        <v>8432</v>
      </c>
    </row>
    <row r="4218">
      <c r="A4218" s="4" t="s">
        <v>8433</v>
      </c>
      <c r="B4218" s="4" t="s">
        <v>8434</v>
      </c>
    </row>
    <row r="4219">
      <c r="A4219" s="4" t="s">
        <v>8435</v>
      </c>
      <c r="B4219" s="4" t="s">
        <v>8436</v>
      </c>
    </row>
    <row r="4220">
      <c r="A4220" s="4" t="s">
        <v>8437</v>
      </c>
      <c r="B4220" s="4" t="s">
        <v>8438</v>
      </c>
    </row>
    <row r="4221">
      <c r="A4221" s="4" t="s">
        <v>8439</v>
      </c>
      <c r="B4221" s="4" t="s">
        <v>8440</v>
      </c>
    </row>
    <row r="4222">
      <c r="A4222" s="4" t="s">
        <v>8441</v>
      </c>
      <c r="B4222" s="4" t="s">
        <v>8442</v>
      </c>
    </row>
    <row r="4223">
      <c r="A4223" s="4" t="s">
        <v>8443</v>
      </c>
      <c r="B4223" s="4" t="s">
        <v>8444</v>
      </c>
    </row>
    <row r="4224">
      <c r="A4224" s="4" t="s">
        <v>8445</v>
      </c>
      <c r="B4224" s="4" t="s">
        <v>8446</v>
      </c>
    </row>
    <row r="4225">
      <c r="A4225" s="4" t="s">
        <v>8447</v>
      </c>
      <c r="B4225" s="4" t="s">
        <v>8448</v>
      </c>
    </row>
    <row r="4226">
      <c r="A4226" s="4" t="s">
        <v>8449</v>
      </c>
      <c r="B4226" s="4" t="s">
        <v>8450</v>
      </c>
    </row>
    <row r="4227">
      <c r="A4227" s="4" t="s">
        <v>8451</v>
      </c>
      <c r="B4227" s="4" t="s">
        <v>8452</v>
      </c>
    </row>
    <row r="4228">
      <c r="A4228" s="4" t="s">
        <v>8453</v>
      </c>
      <c r="B4228" s="4" t="s">
        <v>8454</v>
      </c>
    </row>
    <row r="4229">
      <c r="A4229" s="4" t="s">
        <v>8455</v>
      </c>
      <c r="B4229" s="4" t="s">
        <v>8456</v>
      </c>
    </row>
    <row r="4230">
      <c r="A4230" s="4" t="s">
        <v>8457</v>
      </c>
      <c r="B4230" s="4" t="s">
        <v>8458</v>
      </c>
    </row>
    <row r="4231">
      <c r="A4231" s="4" t="s">
        <v>8459</v>
      </c>
      <c r="B4231" s="4" t="s">
        <v>8460</v>
      </c>
    </row>
    <row r="4232">
      <c r="A4232" s="4" t="s">
        <v>8461</v>
      </c>
      <c r="B4232" s="4" t="s">
        <v>8462</v>
      </c>
    </row>
    <row r="4233">
      <c r="A4233" s="4" t="s">
        <v>8463</v>
      </c>
      <c r="B4233" s="4" t="s">
        <v>8464</v>
      </c>
    </row>
    <row r="4234">
      <c r="A4234" s="4" t="s">
        <v>8465</v>
      </c>
      <c r="B4234" s="4" t="s">
        <v>8466</v>
      </c>
    </row>
    <row r="4235">
      <c r="A4235" s="4" t="s">
        <v>8467</v>
      </c>
      <c r="B4235" s="4" t="s">
        <v>8468</v>
      </c>
    </row>
    <row r="4236">
      <c r="A4236" s="4" t="s">
        <v>8469</v>
      </c>
      <c r="B4236" s="4" t="s">
        <v>8470</v>
      </c>
    </row>
    <row r="4237">
      <c r="A4237" s="4" t="s">
        <v>8471</v>
      </c>
      <c r="B4237" s="4" t="s">
        <v>8472</v>
      </c>
    </row>
    <row r="4238">
      <c r="A4238" s="4" t="s">
        <v>8473</v>
      </c>
      <c r="B4238" s="4" t="s">
        <v>8474</v>
      </c>
    </row>
    <row r="4239">
      <c r="A4239" s="4" t="s">
        <v>8475</v>
      </c>
      <c r="B4239" s="4" t="s">
        <v>8476</v>
      </c>
    </row>
    <row r="4240">
      <c r="A4240" s="4" t="s">
        <v>8477</v>
      </c>
      <c r="B4240" s="4" t="s">
        <v>8478</v>
      </c>
    </row>
    <row r="4241">
      <c r="A4241" s="4" t="s">
        <v>8479</v>
      </c>
      <c r="B4241" s="4" t="s">
        <v>8480</v>
      </c>
    </row>
    <row r="4242">
      <c r="A4242" s="4" t="s">
        <v>8481</v>
      </c>
      <c r="B4242" s="4" t="s">
        <v>8482</v>
      </c>
    </row>
    <row r="4243">
      <c r="A4243" s="4" t="s">
        <v>8483</v>
      </c>
      <c r="B4243" s="4" t="s">
        <v>8484</v>
      </c>
    </row>
    <row r="4244">
      <c r="A4244" s="4" t="s">
        <v>8485</v>
      </c>
      <c r="B4244" s="4" t="s">
        <v>8486</v>
      </c>
    </row>
    <row r="4245">
      <c r="A4245" s="4" t="s">
        <v>8487</v>
      </c>
      <c r="B4245" s="4" t="s">
        <v>8488</v>
      </c>
    </row>
    <row r="4246">
      <c r="A4246" s="4" t="s">
        <v>8489</v>
      </c>
      <c r="B4246" s="4" t="s">
        <v>8490</v>
      </c>
    </row>
    <row r="4247">
      <c r="A4247" s="4" t="s">
        <v>8491</v>
      </c>
      <c r="B4247" s="4" t="s">
        <v>8492</v>
      </c>
    </row>
    <row r="4248">
      <c r="A4248" s="4" t="s">
        <v>8493</v>
      </c>
      <c r="B4248" s="4" t="s">
        <v>8494</v>
      </c>
    </row>
    <row r="4249">
      <c r="A4249" s="4" t="s">
        <v>8495</v>
      </c>
      <c r="B4249" s="4" t="s">
        <v>8496</v>
      </c>
    </row>
    <row r="4250">
      <c r="A4250" s="4" t="s">
        <v>8497</v>
      </c>
      <c r="B4250" s="4" t="s">
        <v>8498</v>
      </c>
    </row>
    <row r="4251">
      <c r="A4251" s="4" t="s">
        <v>8499</v>
      </c>
      <c r="B4251" s="4" t="s">
        <v>8500</v>
      </c>
    </row>
    <row r="4252">
      <c r="A4252" s="4" t="s">
        <v>8501</v>
      </c>
      <c r="B4252" s="4" t="s">
        <v>8502</v>
      </c>
    </row>
    <row r="4253">
      <c r="A4253" s="4" t="s">
        <v>8503</v>
      </c>
      <c r="B4253" s="4" t="s">
        <v>8504</v>
      </c>
    </row>
    <row r="4254">
      <c r="A4254" s="4" t="s">
        <v>8505</v>
      </c>
      <c r="B4254" s="4" t="s">
        <v>8506</v>
      </c>
    </row>
    <row r="4255">
      <c r="A4255" s="4" t="s">
        <v>8507</v>
      </c>
      <c r="B4255" s="4" t="s">
        <v>8508</v>
      </c>
    </row>
    <row r="4256">
      <c r="A4256" s="4" t="s">
        <v>8509</v>
      </c>
      <c r="B4256" s="4" t="s">
        <v>8510</v>
      </c>
    </row>
    <row r="4257">
      <c r="A4257" s="4" t="s">
        <v>8511</v>
      </c>
      <c r="B4257" s="4" t="s">
        <v>8512</v>
      </c>
    </row>
    <row r="4258">
      <c r="A4258" s="4" t="s">
        <v>8513</v>
      </c>
      <c r="B4258" s="4" t="s">
        <v>8514</v>
      </c>
    </row>
    <row r="4259">
      <c r="A4259" s="4" t="s">
        <v>8515</v>
      </c>
      <c r="B4259" s="4" t="s">
        <v>8516</v>
      </c>
    </row>
    <row r="4260">
      <c r="A4260" s="4" t="s">
        <v>8517</v>
      </c>
      <c r="B4260" s="4" t="s">
        <v>8518</v>
      </c>
    </row>
    <row r="4261">
      <c r="A4261" s="4" t="s">
        <v>8519</v>
      </c>
      <c r="B4261" s="4" t="s">
        <v>8520</v>
      </c>
    </row>
    <row r="4262">
      <c r="A4262" s="4" t="s">
        <v>8521</v>
      </c>
      <c r="B4262" s="4" t="s">
        <v>8522</v>
      </c>
    </row>
    <row r="4263">
      <c r="A4263" s="4" t="s">
        <v>8523</v>
      </c>
      <c r="B4263" s="4" t="s">
        <v>8524</v>
      </c>
    </row>
    <row r="4264">
      <c r="A4264" s="4" t="s">
        <v>8525</v>
      </c>
      <c r="B4264" s="4" t="s">
        <v>8526</v>
      </c>
    </row>
    <row r="4265">
      <c r="A4265" s="4" t="s">
        <v>8527</v>
      </c>
      <c r="B4265" s="4" t="s">
        <v>8528</v>
      </c>
    </row>
    <row r="4266">
      <c r="A4266" s="4" t="s">
        <v>8529</v>
      </c>
      <c r="B4266" s="4" t="s">
        <v>8530</v>
      </c>
    </row>
    <row r="4267">
      <c r="A4267" s="4" t="s">
        <v>8531</v>
      </c>
      <c r="B4267" s="4" t="s">
        <v>8532</v>
      </c>
    </row>
    <row r="4268">
      <c r="A4268" s="4" t="s">
        <v>8533</v>
      </c>
      <c r="B4268" s="4" t="s">
        <v>8534</v>
      </c>
    </row>
    <row r="4269">
      <c r="A4269" s="4" t="s">
        <v>8535</v>
      </c>
      <c r="B4269" s="4" t="s">
        <v>8536</v>
      </c>
    </row>
    <row r="4270">
      <c r="A4270" s="4" t="s">
        <v>8537</v>
      </c>
      <c r="B4270" s="4" t="s">
        <v>8538</v>
      </c>
    </row>
    <row r="4271">
      <c r="A4271" s="4" t="s">
        <v>8539</v>
      </c>
      <c r="B4271" s="4" t="s">
        <v>8540</v>
      </c>
    </row>
    <row r="4272">
      <c r="A4272" s="4" t="s">
        <v>8541</v>
      </c>
      <c r="B4272" s="4" t="s">
        <v>8542</v>
      </c>
    </row>
    <row r="4273">
      <c r="A4273" s="4" t="s">
        <v>8543</v>
      </c>
      <c r="B4273" s="4" t="s">
        <v>8544</v>
      </c>
    </row>
    <row r="4274">
      <c r="A4274" s="4" t="s">
        <v>8545</v>
      </c>
      <c r="B4274" s="4" t="s">
        <v>8546</v>
      </c>
    </row>
    <row r="4275">
      <c r="A4275" s="4" t="s">
        <v>8547</v>
      </c>
      <c r="B4275" s="4" t="s">
        <v>8548</v>
      </c>
    </row>
    <row r="4276">
      <c r="A4276" s="4" t="s">
        <v>8549</v>
      </c>
      <c r="B4276" s="4" t="s">
        <v>8550</v>
      </c>
    </row>
    <row r="4277">
      <c r="A4277" s="4" t="s">
        <v>8551</v>
      </c>
      <c r="B4277" s="4" t="s">
        <v>8552</v>
      </c>
    </row>
    <row r="4278">
      <c r="A4278" s="4" t="s">
        <v>8553</v>
      </c>
      <c r="B4278" s="4" t="s">
        <v>8554</v>
      </c>
    </row>
    <row r="4279">
      <c r="A4279" s="4" t="s">
        <v>8555</v>
      </c>
      <c r="B4279" s="4" t="s">
        <v>8556</v>
      </c>
    </row>
    <row r="4280">
      <c r="A4280" s="4" t="s">
        <v>8557</v>
      </c>
      <c r="B4280" s="4" t="s">
        <v>8558</v>
      </c>
    </row>
    <row r="4281">
      <c r="A4281" s="4" t="s">
        <v>8559</v>
      </c>
      <c r="B4281" s="4" t="s">
        <v>8560</v>
      </c>
    </row>
    <row r="4282">
      <c r="A4282" s="4" t="s">
        <v>8561</v>
      </c>
      <c r="B4282" s="4" t="s">
        <v>8562</v>
      </c>
    </row>
    <row r="4283">
      <c r="A4283" s="4" t="s">
        <v>8563</v>
      </c>
      <c r="B4283" s="4" t="s">
        <v>8564</v>
      </c>
    </row>
    <row r="4284">
      <c r="A4284" s="4" t="s">
        <v>8565</v>
      </c>
      <c r="B4284" s="4" t="s">
        <v>8566</v>
      </c>
    </row>
    <row r="4285">
      <c r="A4285" s="4" t="s">
        <v>8567</v>
      </c>
      <c r="B4285" s="4" t="s">
        <v>8568</v>
      </c>
    </row>
    <row r="4286">
      <c r="A4286" s="4" t="s">
        <v>8569</v>
      </c>
      <c r="B4286" s="4" t="s">
        <v>8570</v>
      </c>
    </row>
    <row r="4287">
      <c r="A4287" s="4" t="s">
        <v>8571</v>
      </c>
      <c r="B4287" s="4" t="s">
        <v>8572</v>
      </c>
    </row>
    <row r="4288">
      <c r="A4288" s="4" t="s">
        <v>8573</v>
      </c>
      <c r="B4288" s="4" t="s">
        <v>8574</v>
      </c>
    </row>
    <row r="4289">
      <c r="A4289" s="4" t="s">
        <v>8575</v>
      </c>
      <c r="B4289" s="4" t="s">
        <v>8576</v>
      </c>
    </row>
    <row r="4290">
      <c r="A4290" s="4" t="s">
        <v>8577</v>
      </c>
      <c r="B4290" s="4" t="s">
        <v>8578</v>
      </c>
    </row>
    <row r="4291">
      <c r="A4291" s="4" t="s">
        <v>8579</v>
      </c>
      <c r="B4291" s="4" t="s">
        <v>8580</v>
      </c>
    </row>
    <row r="4292">
      <c r="A4292" s="4" t="s">
        <v>8581</v>
      </c>
      <c r="B4292" s="4" t="s">
        <v>8582</v>
      </c>
    </row>
    <row r="4293">
      <c r="A4293" s="4" t="s">
        <v>8583</v>
      </c>
      <c r="B4293" s="4" t="s">
        <v>8584</v>
      </c>
    </row>
    <row r="4294">
      <c r="A4294" s="4" t="s">
        <v>8585</v>
      </c>
      <c r="B4294" s="4" t="s">
        <v>8586</v>
      </c>
    </row>
    <row r="4295">
      <c r="A4295" s="4" t="s">
        <v>8587</v>
      </c>
      <c r="B4295" s="4" t="s">
        <v>8588</v>
      </c>
    </row>
    <row r="4296">
      <c r="A4296" s="4" t="s">
        <v>8589</v>
      </c>
      <c r="B4296" s="4" t="s">
        <v>8590</v>
      </c>
    </row>
    <row r="4297">
      <c r="A4297" s="4" t="s">
        <v>8591</v>
      </c>
      <c r="B4297" s="4" t="s">
        <v>8592</v>
      </c>
    </row>
    <row r="4298">
      <c r="A4298" s="4" t="s">
        <v>8593</v>
      </c>
      <c r="B4298" s="4" t="s">
        <v>8594</v>
      </c>
    </row>
    <row r="4299">
      <c r="A4299" s="4" t="s">
        <v>8595</v>
      </c>
      <c r="B4299" s="4" t="s">
        <v>8596</v>
      </c>
    </row>
    <row r="4300">
      <c r="A4300" s="4" t="s">
        <v>8597</v>
      </c>
      <c r="B4300" s="4" t="s">
        <v>8598</v>
      </c>
    </row>
    <row r="4301">
      <c r="A4301" s="4" t="s">
        <v>8599</v>
      </c>
      <c r="B4301" s="4" t="s">
        <v>8600</v>
      </c>
    </row>
    <row r="4302">
      <c r="A4302" s="4" t="s">
        <v>8601</v>
      </c>
      <c r="B4302" s="4" t="s">
        <v>8602</v>
      </c>
    </row>
    <row r="4303">
      <c r="A4303" s="4" t="s">
        <v>8603</v>
      </c>
      <c r="B4303" s="4" t="s">
        <v>8604</v>
      </c>
    </row>
    <row r="4304">
      <c r="A4304" s="4" t="s">
        <v>8605</v>
      </c>
      <c r="B4304" s="4" t="s">
        <v>8606</v>
      </c>
    </row>
    <row r="4305">
      <c r="A4305" s="4" t="s">
        <v>8607</v>
      </c>
      <c r="B4305" s="4" t="s">
        <v>8608</v>
      </c>
    </row>
    <row r="4306">
      <c r="A4306" s="4" t="s">
        <v>8609</v>
      </c>
      <c r="B4306" s="4" t="s">
        <v>8610</v>
      </c>
    </row>
    <row r="4307">
      <c r="A4307" s="4" t="s">
        <v>8611</v>
      </c>
      <c r="B4307" s="4" t="s">
        <v>8612</v>
      </c>
    </row>
    <row r="4308">
      <c r="A4308" s="4" t="s">
        <v>8613</v>
      </c>
      <c r="B4308" s="4" t="s">
        <v>8614</v>
      </c>
    </row>
    <row r="4309">
      <c r="A4309" s="4" t="s">
        <v>8615</v>
      </c>
      <c r="B4309" s="4" t="s">
        <v>8616</v>
      </c>
    </row>
    <row r="4310">
      <c r="A4310" s="4" t="s">
        <v>8617</v>
      </c>
      <c r="B4310" s="4" t="s">
        <v>8618</v>
      </c>
    </row>
    <row r="4311">
      <c r="A4311" s="4" t="s">
        <v>8619</v>
      </c>
      <c r="B4311" s="4" t="s">
        <v>8620</v>
      </c>
    </row>
    <row r="4312">
      <c r="A4312" s="4" t="s">
        <v>8621</v>
      </c>
      <c r="B4312" s="4" t="s">
        <v>8622</v>
      </c>
    </row>
    <row r="4313">
      <c r="A4313" s="4" t="s">
        <v>8623</v>
      </c>
      <c r="B4313" s="4" t="s">
        <v>8624</v>
      </c>
    </row>
    <row r="4314">
      <c r="A4314" s="4" t="s">
        <v>8625</v>
      </c>
      <c r="B4314" s="4" t="s">
        <v>8626</v>
      </c>
    </row>
    <row r="4315">
      <c r="A4315" s="4" t="s">
        <v>8627</v>
      </c>
      <c r="B4315" s="4" t="s">
        <v>8628</v>
      </c>
    </row>
    <row r="4316">
      <c r="A4316" s="4" t="s">
        <v>8629</v>
      </c>
      <c r="B4316" s="4" t="s">
        <v>8630</v>
      </c>
    </row>
    <row r="4317">
      <c r="A4317" s="4" t="s">
        <v>8631</v>
      </c>
      <c r="B4317" s="4" t="s">
        <v>8632</v>
      </c>
    </row>
    <row r="4318">
      <c r="A4318" s="4" t="s">
        <v>8633</v>
      </c>
      <c r="B4318" s="4" t="s">
        <v>8634</v>
      </c>
    </row>
    <row r="4319">
      <c r="A4319" s="4" t="s">
        <v>8635</v>
      </c>
      <c r="B4319" s="4" t="s">
        <v>8636</v>
      </c>
    </row>
    <row r="4320">
      <c r="A4320" s="4" t="s">
        <v>8637</v>
      </c>
      <c r="B4320" s="4" t="s">
        <v>8638</v>
      </c>
    </row>
    <row r="4321">
      <c r="A4321" s="4" t="s">
        <v>8639</v>
      </c>
      <c r="B4321" s="4" t="s">
        <v>8640</v>
      </c>
    </row>
    <row r="4322">
      <c r="A4322" s="4" t="s">
        <v>8641</v>
      </c>
      <c r="B4322" s="4" t="s">
        <v>8642</v>
      </c>
    </row>
    <row r="4323">
      <c r="A4323" s="4" t="s">
        <v>8643</v>
      </c>
      <c r="B4323" s="4" t="s">
        <v>8644</v>
      </c>
    </row>
    <row r="4324">
      <c r="A4324" s="4" t="s">
        <v>8645</v>
      </c>
      <c r="B4324" s="4" t="s">
        <v>8646</v>
      </c>
    </row>
    <row r="4325">
      <c r="A4325" s="4" t="s">
        <v>8647</v>
      </c>
      <c r="B4325" s="4" t="s">
        <v>8648</v>
      </c>
    </row>
    <row r="4326">
      <c r="A4326" s="4" t="s">
        <v>8649</v>
      </c>
      <c r="B4326" s="4" t="s">
        <v>8650</v>
      </c>
    </row>
    <row r="4327">
      <c r="A4327" s="4" t="s">
        <v>8651</v>
      </c>
      <c r="B4327" s="4" t="s">
        <v>8652</v>
      </c>
    </row>
    <row r="4328">
      <c r="A4328" s="4" t="s">
        <v>8653</v>
      </c>
      <c r="B4328" s="4" t="s">
        <v>8654</v>
      </c>
    </row>
    <row r="4329">
      <c r="A4329" s="4" t="s">
        <v>8655</v>
      </c>
      <c r="B4329" s="4" t="s">
        <v>8656</v>
      </c>
    </row>
    <row r="4330">
      <c r="A4330" s="4" t="s">
        <v>8657</v>
      </c>
      <c r="B4330" s="4" t="s">
        <v>8658</v>
      </c>
    </row>
    <row r="4331">
      <c r="A4331" s="4" t="s">
        <v>8659</v>
      </c>
      <c r="B4331" s="4" t="s">
        <v>8660</v>
      </c>
    </row>
    <row r="4332">
      <c r="A4332" s="4" t="s">
        <v>8661</v>
      </c>
      <c r="B4332" s="4" t="s">
        <v>8662</v>
      </c>
    </row>
    <row r="4333">
      <c r="A4333" s="4" t="s">
        <v>8663</v>
      </c>
      <c r="B4333" s="4" t="s">
        <v>8664</v>
      </c>
    </row>
    <row r="4334">
      <c r="A4334" s="4" t="s">
        <v>8665</v>
      </c>
      <c r="B4334" s="4" t="s">
        <v>8666</v>
      </c>
    </row>
    <row r="4335">
      <c r="A4335" s="4" t="s">
        <v>8667</v>
      </c>
      <c r="B4335" s="4" t="s">
        <v>8668</v>
      </c>
    </row>
    <row r="4336">
      <c r="A4336" s="4" t="s">
        <v>8669</v>
      </c>
      <c r="B4336" s="4" t="s">
        <v>8670</v>
      </c>
    </row>
    <row r="4337">
      <c r="A4337" s="4" t="s">
        <v>8671</v>
      </c>
      <c r="B4337" s="4" t="s">
        <v>8672</v>
      </c>
    </row>
    <row r="4338">
      <c r="A4338" s="4" t="s">
        <v>8673</v>
      </c>
      <c r="B4338" s="4" t="s">
        <v>8674</v>
      </c>
    </row>
    <row r="4339">
      <c r="A4339" s="4" t="s">
        <v>8675</v>
      </c>
      <c r="B4339" s="4" t="s">
        <v>8676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8677</v>
      </c>
      <c r="B1" s="4" t="s">
        <v>8678</v>
      </c>
    </row>
    <row r="2">
      <c r="A2" s="4" t="s">
        <v>8679</v>
      </c>
      <c r="B2" s="4" t="s">
        <v>8680</v>
      </c>
    </row>
    <row r="3">
      <c r="A3" s="4" t="s">
        <v>8681</v>
      </c>
      <c r="B3" s="4" t="s">
        <v>8682</v>
      </c>
    </row>
    <row r="4">
      <c r="A4" s="4" t="s">
        <v>8683</v>
      </c>
      <c r="B4" s="4" t="s">
        <v>8684</v>
      </c>
    </row>
    <row r="5">
      <c r="A5" s="4" t="s">
        <v>8685</v>
      </c>
      <c r="B5" s="4" t="s">
        <v>8686</v>
      </c>
    </row>
    <row r="6">
      <c r="A6" s="4" t="s">
        <v>8687</v>
      </c>
      <c r="B6" s="4" t="s">
        <v>8688</v>
      </c>
    </row>
    <row r="7">
      <c r="A7" s="4" t="s">
        <v>8689</v>
      </c>
      <c r="B7" s="4" t="s">
        <v>8690</v>
      </c>
    </row>
    <row r="8">
      <c r="A8" s="4" t="s">
        <v>8691</v>
      </c>
      <c r="B8" s="4" t="s">
        <v>8692</v>
      </c>
    </row>
    <row r="9">
      <c r="A9" s="4" t="s">
        <v>8693</v>
      </c>
      <c r="B9" s="4" t="s">
        <v>8694</v>
      </c>
    </row>
    <row r="10">
      <c r="A10" s="4" t="s">
        <v>8695</v>
      </c>
      <c r="B10" s="4" t="s">
        <v>8696</v>
      </c>
    </row>
    <row r="11">
      <c r="A11" s="4" t="s">
        <v>8697</v>
      </c>
      <c r="B11" s="4" t="s">
        <v>8698</v>
      </c>
    </row>
    <row r="12">
      <c r="A12" s="4" t="s">
        <v>8699</v>
      </c>
      <c r="B12" s="4" t="s">
        <v>8700</v>
      </c>
    </row>
    <row r="13">
      <c r="A13" s="4" t="s">
        <v>8701</v>
      </c>
      <c r="B13" s="4" t="s">
        <v>8702</v>
      </c>
    </row>
    <row r="14">
      <c r="A14" s="4" t="s">
        <v>8703</v>
      </c>
      <c r="B14" s="4" t="s">
        <v>8704</v>
      </c>
    </row>
    <row r="15">
      <c r="A15" s="4" t="s">
        <v>8705</v>
      </c>
      <c r="B15" s="4" t="s">
        <v>8706</v>
      </c>
    </row>
    <row r="16">
      <c r="A16" s="4" t="s">
        <v>8707</v>
      </c>
      <c r="B16" s="4" t="s">
        <v>8708</v>
      </c>
    </row>
    <row r="17">
      <c r="A17" s="4" t="s">
        <v>8709</v>
      </c>
      <c r="B17" s="4" t="s">
        <v>8710</v>
      </c>
    </row>
    <row r="18">
      <c r="A18" s="4" t="s">
        <v>8711</v>
      </c>
      <c r="B18" s="4" t="s">
        <v>8712</v>
      </c>
    </row>
    <row r="19">
      <c r="A19" s="4" t="s">
        <v>8713</v>
      </c>
      <c r="B19" s="4" t="s">
        <v>8714</v>
      </c>
    </row>
    <row r="20">
      <c r="A20" s="4" t="s">
        <v>8715</v>
      </c>
      <c r="B20" s="4" t="s">
        <v>8716</v>
      </c>
    </row>
    <row r="21">
      <c r="A21" s="4" t="s">
        <v>8717</v>
      </c>
      <c r="B21" s="4" t="s">
        <v>8718</v>
      </c>
    </row>
    <row r="22">
      <c r="A22" s="4" t="s">
        <v>8719</v>
      </c>
      <c r="B22" s="4" t="s">
        <v>8720</v>
      </c>
    </row>
    <row r="23">
      <c r="A23" s="4" t="s">
        <v>8721</v>
      </c>
      <c r="B23" s="4" t="s">
        <v>8722</v>
      </c>
    </row>
    <row r="24">
      <c r="A24" s="4" t="s">
        <v>8723</v>
      </c>
      <c r="B24" s="4" t="s">
        <v>8724</v>
      </c>
    </row>
    <row r="25">
      <c r="A25" s="4" t="s">
        <v>8725</v>
      </c>
      <c r="B25" s="4" t="s">
        <v>8726</v>
      </c>
    </row>
    <row r="26">
      <c r="A26" s="4" t="s">
        <v>8727</v>
      </c>
      <c r="B26" s="4" t="s">
        <v>8728</v>
      </c>
    </row>
    <row r="27">
      <c r="A27" s="4" t="s">
        <v>8729</v>
      </c>
      <c r="B27" s="4" t="s">
        <v>8730</v>
      </c>
    </row>
    <row r="28">
      <c r="A28" s="4" t="s">
        <v>8731</v>
      </c>
      <c r="B28" s="4" t="s">
        <v>8732</v>
      </c>
    </row>
    <row r="29">
      <c r="A29" s="4" t="s">
        <v>8733</v>
      </c>
      <c r="B29" s="4" t="s">
        <v>8734</v>
      </c>
    </row>
    <row r="30">
      <c r="A30" s="4" t="s">
        <v>8735</v>
      </c>
      <c r="B30" s="4" t="s">
        <v>8736</v>
      </c>
    </row>
    <row r="31">
      <c r="A31" s="4" t="s">
        <v>8737</v>
      </c>
      <c r="B31" s="4" t="s">
        <v>8738</v>
      </c>
    </row>
    <row r="32">
      <c r="A32" s="4" t="s">
        <v>8739</v>
      </c>
      <c r="B32" s="4" t="s">
        <v>8740</v>
      </c>
    </row>
    <row r="33">
      <c r="A33" s="4" t="s">
        <v>8741</v>
      </c>
      <c r="B33" s="4" t="s">
        <v>8742</v>
      </c>
    </row>
    <row r="34">
      <c r="A34" s="4" t="s">
        <v>8743</v>
      </c>
      <c r="B34" s="4" t="s">
        <v>8744</v>
      </c>
    </row>
    <row r="35">
      <c r="A35" s="4" t="s">
        <v>8745</v>
      </c>
      <c r="B35" s="4" t="s">
        <v>8746</v>
      </c>
    </row>
    <row r="36">
      <c r="A36" s="4" t="s">
        <v>8747</v>
      </c>
      <c r="B36" s="4" t="s">
        <v>8748</v>
      </c>
    </row>
    <row r="37">
      <c r="A37" s="4" t="s">
        <v>8749</v>
      </c>
      <c r="B37" s="4" t="s">
        <v>8750</v>
      </c>
    </row>
    <row r="38">
      <c r="A38" s="4" t="s">
        <v>8751</v>
      </c>
      <c r="B38" s="4" t="s">
        <v>8752</v>
      </c>
    </row>
    <row r="39">
      <c r="A39" s="4" t="s">
        <v>8753</v>
      </c>
      <c r="B39" s="4" t="s">
        <v>8754</v>
      </c>
    </row>
    <row r="40">
      <c r="A40" s="4" t="s">
        <v>8755</v>
      </c>
      <c r="B40" s="4" t="s">
        <v>8756</v>
      </c>
    </row>
    <row r="41">
      <c r="A41" s="4" t="s">
        <v>8757</v>
      </c>
      <c r="B41" s="4" t="s">
        <v>8758</v>
      </c>
    </row>
    <row r="42">
      <c r="A42" s="4" t="s">
        <v>8759</v>
      </c>
      <c r="B42" s="4" t="s">
        <v>8760</v>
      </c>
    </row>
    <row r="43">
      <c r="A43" s="4" t="s">
        <v>8761</v>
      </c>
      <c r="B43" s="4" t="s">
        <v>8762</v>
      </c>
    </row>
    <row r="44">
      <c r="A44" s="4" t="s">
        <v>8763</v>
      </c>
      <c r="B44" s="4" t="s">
        <v>8764</v>
      </c>
    </row>
    <row r="45">
      <c r="A45" s="4" t="s">
        <v>8765</v>
      </c>
      <c r="B45" s="4" t="s">
        <v>8766</v>
      </c>
    </row>
    <row r="46">
      <c r="A46" s="4" t="s">
        <v>8767</v>
      </c>
      <c r="B46" s="4" t="s">
        <v>8768</v>
      </c>
    </row>
    <row r="47">
      <c r="A47" s="4" t="s">
        <v>8769</v>
      </c>
      <c r="B47" s="4" t="s">
        <v>8770</v>
      </c>
    </row>
    <row r="48">
      <c r="A48" s="4" t="s">
        <v>8771</v>
      </c>
      <c r="B48" s="4" t="s">
        <v>8772</v>
      </c>
    </row>
    <row r="49">
      <c r="A49" s="4" t="s">
        <v>8773</v>
      </c>
      <c r="B49" s="4" t="s">
        <v>8774</v>
      </c>
    </row>
    <row r="50">
      <c r="A50" s="4" t="s">
        <v>8775</v>
      </c>
      <c r="B50" s="4" t="s">
        <v>8776</v>
      </c>
    </row>
    <row r="51">
      <c r="A51" s="4" t="s">
        <v>8777</v>
      </c>
      <c r="B51" s="4" t="s">
        <v>8778</v>
      </c>
    </row>
    <row r="52">
      <c r="A52" s="4" t="s">
        <v>8779</v>
      </c>
      <c r="B52" s="4" t="s">
        <v>8780</v>
      </c>
    </row>
    <row r="53">
      <c r="A53" s="4" t="s">
        <v>8781</v>
      </c>
      <c r="B53" s="4" t="s">
        <v>8782</v>
      </c>
    </row>
    <row r="54">
      <c r="A54" s="4" t="s">
        <v>8783</v>
      </c>
      <c r="B54" s="4" t="s">
        <v>8784</v>
      </c>
    </row>
    <row r="55">
      <c r="A55" s="4" t="s">
        <v>8785</v>
      </c>
      <c r="B55" s="4" t="s">
        <v>8786</v>
      </c>
    </row>
    <row r="56">
      <c r="A56" s="4" t="s">
        <v>8787</v>
      </c>
      <c r="B56" s="4" t="s">
        <v>8788</v>
      </c>
    </row>
    <row r="57">
      <c r="A57" s="4" t="s">
        <v>8789</v>
      </c>
      <c r="B57" s="4" t="s">
        <v>8790</v>
      </c>
    </row>
    <row r="58">
      <c r="A58" s="4" t="s">
        <v>8791</v>
      </c>
      <c r="B58" s="4" t="s">
        <v>8792</v>
      </c>
    </row>
    <row r="59">
      <c r="A59" s="4" t="s">
        <v>8793</v>
      </c>
      <c r="B59" s="4" t="s">
        <v>8794</v>
      </c>
    </row>
    <row r="60">
      <c r="A60" s="4" t="s">
        <v>8795</v>
      </c>
      <c r="B60" s="4" t="s">
        <v>8796</v>
      </c>
    </row>
    <row r="61">
      <c r="A61" s="4" t="s">
        <v>8797</v>
      </c>
      <c r="B61" s="4" t="s">
        <v>8798</v>
      </c>
    </row>
    <row r="62">
      <c r="A62" s="4" t="s">
        <v>8799</v>
      </c>
      <c r="B62" s="4" t="s">
        <v>8800</v>
      </c>
    </row>
    <row r="63">
      <c r="A63" s="4" t="s">
        <v>8801</v>
      </c>
      <c r="B63" s="4" t="s">
        <v>8802</v>
      </c>
    </row>
    <row r="64">
      <c r="A64" s="4" t="s">
        <v>8803</v>
      </c>
      <c r="B64" s="4" t="s">
        <v>8804</v>
      </c>
    </row>
    <row r="65">
      <c r="A65" s="4" t="s">
        <v>8805</v>
      </c>
      <c r="B65" s="4" t="s">
        <v>8806</v>
      </c>
    </row>
    <row r="66">
      <c r="A66" s="4" t="s">
        <v>8807</v>
      </c>
      <c r="B66" s="4" t="s">
        <v>8808</v>
      </c>
    </row>
    <row r="67">
      <c r="A67" s="4" t="s">
        <v>8809</v>
      </c>
      <c r="B67" s="4" t="s">
        <v>8810</v>
      </c>
    </row>
    <row r="68">
      <c r="A68" s="4" t="s">
        <v>8811</v>
      </c>
      <c r="B68" s="4" t="s">
        <v>8812</v>
      </c>
    </row>
    <row r="69">
      <c r="A69" s="4" t="s">
        <v>8813</v>
      </c>
      <c r="B69" s="4" t="s">
        <v>8814</v>
      </c>
    </row>
    <row r="70">
      <c r="A70" s="4" t="s">
        <v>8815</v>
      </c>
      <c r="B70" s="4" t="s">
        <v>8816</v>
      </c>
    </row>
    <row r="71">
      <c r="A71" s="4" t="s">
        <v>8817</v>
      </c>
      <c r="B71" s="4" t="s">
        <v>8818</v>
      </c>
    </row>
    <row r="72">
      <c r="A72" s="4" t="s">
        <v>8819</v>
      </c>
      <c r="B72" s="4" t="s">
        <v>8820</v>
      </c>
    </row>
    <row r="73">
      <c r="A73" s="4" t="s">
        <v>8821</v>
      </c>
      <c r="B73" s="4" t="s">
        <v>8822</v>
      </c>
    </row>
    <row r="74">
      <c r="A74" s="4" t="s">
        <v>8823</v>
      </c>
      <c r="B74" s="4" t="s">
        <v>8824</v>
      </c>
    </row>
    <row r="75">
      <c r="A75" s="4" t="s">
        <v>8825</v>
      </c>
      <c r="B75" s="4" t="s">
        <v>8826</v>
      </c>
    </row>
    <row r="76">
      <c r="A76" s="4" t="s">
        <v>8827</v>
      </c>
      <c r="B76" s="4" t="s">
        <v>8828</v>
      </c>
    </row>
    <row r="77">
      <c r="A77" s="4" t="s">
        <v>8829</v>
      </c>
      <c r="B77" s="4" t="s">
        <v>8830</v>
      </c>
    </row>
    <row r="78">
      <c r="A78" s="4" t="s">
        <v>8831</v>
      </c>
      <c r="B78" s="4" t="s">
        <v>8832</v>
      </c>
    </row>
    <row r="79">
      <c r="A79" s="4" t="s">
        <v>8833</v>
      </c>
      <c r="B79" s="4" t="s">
        <v>8834</v>
      </c>
    </row>
    <row r="80">
      <c r="A80" s="4" t="s">
        <v>8835</v>
      </c>
      <c r="B80" s="4" t="s">
        <v>8836</v>
      </c>
    </row>
    <row r="81">
      <c r="A81" s="4" t="s">
        <v>8837</v>
      </c>
      <c r="B81" s="4" t="s">
        <v>8838</v>
      </c>
    </row>
    <row r="82">
      <c r="A82" s="4" t="s">
        <v>8839</v>
      </c>
      <c r="B82" s="4" t="s">
        <v>8840</v>
      </c>
    </row>
    <row r="83">
      <c r="A83" s="4" t="s">
        <v>8841</v>
      </c>
      <c r="B83" s="4" t="s">
        <v>8842</v>
      </c>
    </row>
    <row r="84">
      <c r="A84" s="4" t="s">
        <v>8843</v>
      </c>
      <c r="B84" s="4" t="s">
        <v>8844</v>
      </c>
    </row>
    <row r="85">
      <c r="A85" s="4" t="s">
        <v>8845</v>
      </c>
      <c r="B85" s="4" t="s">
        <v>8846</v>
      </c>
    </row>
    <row r="86">
      <c r="A86" s="4" t="s">
        <v>8847</v>
      </c>
      <c r="B86" s="4" t="s">
        <v>8846</v>
      </c>
    </row>
    <row r="87">
      <c r="A87" s="4" t="s">
        <v>8848</v>
      </c>
      <c r="B87" s="4" t="s">
        <v>8849</v>
      </c>
    </row>
    <row r="88">
      <c r="A88" s="4" t="s">
        <v>8850</v>
      </c>
      <c r="B88" s="4" t="s">
        <v>8851</v>
      </c>
    </row>
    <row r="89">
      <c r="A89" s="4" t="s">
        <v>8852</v>
      </c>
      <c r="B89" s="4" t="s">
        <v>8853</v>
      </c>
    </row>
    <row r="90">
      <c r="A90" s="4" t="s">
        <v>8854</v>
      </c>
      <c r="B90" s="4" t="s">
        <v>8855</v>
      </c>
    </row>
    <row r="91">
      <c r="A91" s="4" t="s">
        <v>8856</v>
      </c>
      <c r="B91" s="4" t="s">
        <v>8857</v>
      </c>
    </row>
    <row r="92">
      <c r="A92" s="4" t="s">
        <v>8858</v>
      </c>
      <c r="B92" s="4" t="s">
        <v>8859</v>
      </c>
    </row>
    <row r="93">
      <c r="A93" s="4" t="s">
        <v>8860</v>
      </c>
      <c r="B93" s="4" t="s">
        <v>8861</v>
      </c>
    </row>
    <row r="94">
      <c r="A94" s="4" t="s">
        <v>8862</v>
      </c>
      <c r="B94" s="4" t="s">
        <v>8863</v>
      </c>
    </row>
    <row r="95">
      <c r="A95" s="4" t="s">
        <v>8864</v>
      </c>
      <c r="B95" s="4" t="s">
        <v>8865</v>
      </c>
    </row>
    <row r="96">
      <c r="A96" s="4" t="s">
        <v>8866</v>
      </c>
      <c r="B96" s="4" t="s">
        <v>8867</v>
      </c>
    </row>
    <row r="97">
      <c r="A97" s="4" t="s">
        <v>8868</v>
      </c>
      <c r="B97" s="4" t="s">
        <v>8869</v>
      </c>
    </row>
    <row r="98">
      <c r="A98" s="4" t="s">
        <v>8870</v>
      </c>
      <c r="B98" s="4" t="s">
        <v>8871</v>
      </c>
    </row>
    <row r="99">
      <c r="A99" s="4" t="s">
        <v>8872</v>
      </c>
      <c r="B99" s="4" t="s">
        <v>8873</v>
      </c>
    </row>
    <row r="100">
      <c r="A100" s="4" t="s">
        <v>8874</v>
      </c>
      <c r="B100" s="4" t="s">
        <v>8875</v>
      </c>
    </row>
    <row r="101">
      <c r="A101" s="4" t="s">
        <v>8876</v>
      </c>
      <c r="B101" s="4" t="s">
        <v>8877</v>
      </c>
    </row>
    <row r="102">
      <c r="A102" s="4" t="s">
        <v>8878</v>
      </c>
      <c r="B102" s="4" t="s">
        <v>8879</v>
      </c>
    </row>
    <row r="103">
      <c r="A103" s="4" t="s">
        <v>8880</v>
      </c>
      <c r="B103" s="4" t="s">
        <v>8881</v>
      </c>
    </row>
    <row r="104">
      <c r="A104" s="4" t="s">
        <v>8882</v>
      </c>
      <c r="B104" s="4" t="s">
        <v>8883</v>
      </c>
    </row>
    <row r="105">
      <c r="A105" s="4" t="s">
        <v>8884</v>
      </c>
      <c r="B105" s="4" t="s">
        <v>8885</v>
      </c>
    </row>
    <row r="106">
      <c r="A106" s="4" t="s">
        <v>8886</v>
      </c>
      <c r="B106" s="4" t="s">
        <v>8887</v>
      </c>
    </row>
    <row r="107">
      <c r="A107" s="4" t="s">
        <v>8888</v>
      </c>
      <c r="B107" s="4" t="s">
        <v>8889</v>
      </c>
    </row>
    <row r="108">
      <c r="A108" s="4" t="s">
        <v>8890</v>
      </c>
      <c r="B108" s="4" t="s">
        <v>8891</v>
      </c>
    </row>
    <row r="109">
      <c r="A109" s="4" t="s">
        <v>8892</v>
      </c>
      <c r="B109" s="4" t="s">
        <v>8893</v>
      </c>
    </row>
    <row r="110">
      <c r="A110" s="4" t="s">
        <v>8894</v>
      </c>
      <c r="B110" s="4" t="s">
        <v>8895</v>
      </c>
    </row>
    <row r="111">
      <c r="A111" s="4" t="s">
        <v>8896</v>
      </c>
      <c r="B111" s="4" t="s">
        <v>8897</v>
      </c>
    </row>
    <row r="112">
      <c r="A112" s="4" t="s">
        <v>8898</v>
      </c>
      <c r="B112" s="4" t="s">
        <v>8899</v>
      </c>
    </row>
    <row r="113">
      <c r="A113" s="4" t="s">
        <v>8900</v>
      </c>
      <c r="B113" s="4" t="s">
        <v>8901</v>
      </c>
    </row>
    <row r="114">
      <c r="A114" s="4" t="s">
        <v>8902</v>
      </c>
      <c r="B114" s="4" t="s">
        <v>8903</v>
      </c>
    </row>
    <row r="115">
      <c r="A115" s="4" t="s">
        <v>8904</v>
      </c>
      <c r="B115" s="4" t="s">
        <v>8905</v>
      </c>
    </row>
    <row r="116">
      <c r="A116" s="4" t="s">
        <v>8906</v>
      </c>
      <c r="B116" s="4" t="s">
        <v>8907</v>
      </c>
    </row>
    <row r="117">
      <c r="A117" s="4" t="s">
        <v>8908</v>
      </c>
      <c r="B117" s="4" t="s">
        <v>8909</v>
      </c>
    </row>
    <row r="118">
      <c r="A118" s="4" t="s">
        <v>8910</v>
      </c>
      <c r="B118" s="4" t="s">
        <v>8911</v>
      </c>
    </row>
    <row r="119">
      <c r="A119" s="4" t="s">
        <v>8912</v>
      </c>
      <c r="B119" s="4" t="s">
        <v>8913</v>
      </c>
    </row>
    <row r="120">
      <c r="A120" s="4" t="s">
        <v>8914</v>
      </c>
      <c r="B120" s="4" t="s">
        <v>8915</v>
      </c>
    </row>
    <row r="121">
      <c r="A121" s="4" t="s">
        <v>8916</v>
      </c>
      <c r="B121" s="4" t="s">
        <v>8917</v>
      </c>
    </row>
    <row r="122">
      <c r="A122" s="4" t="s">
        <v>8918</v>
      </c>
      <c r="B122" s="4" t="s">
        <v>8917</v>
      </c>
    </row>
    <row r="123">
      <c r="A123" s="4" t="s">
        <v>8919</v>
      </c>
      <c r="B123" s="4" t="s">
        <v>8920</v>
      </c>
    </row>
    <row r="124">
      <c r="A124" s="4" t="s">
        <v>8921</v>
      </c>
      <c r="B124" s="4" t="s">
        <v>8922</v>
      </c>
    </row>
    <row r="125">
      <c r="A125" s="4" t="s">
        <v>8923</v>
      </c>
      <c r="B125" s="4" t="s">
        <v>8924</v>
      </c>
    </row>
    <row r="126">
      <c r="A126" s="4" t="s">
        <v>8925</v>
      </c>
      <c r="B126" s="4" t="s">
        <v>8926</v>
      </c>
    </row>
    <row r="127">
      <c r="A127" s="4" t="s">
        <v>8927</v>
      </c>
      <c r="B127" s="4" t="s">
        <v>8928</v>
      </c>
    </row>
    <row r="128">
      <c r="A128" s="4" t="s">
        <v>8929</v>
      </c>
      <c r="B128" s="4" t="s">
        <v>8930</v>
      </c>
    </row>
    <row r="129">
      <c r="A129" s="4" t="s">
        <v>8931</v>
      </c>
      <c r="B129" s="4" t="s">
        <v>8932</v>
      </c>
    </row>
    <row r="130">
      <c r="A130" s="4" t="s">
        <v>8933</v>
      </c>
      <c r="B130" s="4" t="s">
        <v>8934</v>
      </c>
    </row>
    <row r="131">
      <c r="A131" s="4" t="s">
        <v>8935</v>
      </c>
      <c r="B131" s="4" t="s">
        <v>8936</v>
      </c>
    </row>
    <row r="132">
      <c r="A132" s="4" t="s">
        <v>8937</v>
      </c>
      <c r="B132" s="4" t="s">
        <v>8938</v>
      </c>
    </row>
    <row r="133">
      <c r="A133" s="4" t="s">
        <v>8939</v>
      </c>
      <c r="B133" s="4" t="s">
        <v>8940</v>
      </c>
    </row>
    <row r="134">
      <c r="A134" s="4" t="s">
        <v>8941</v>
      </c>
      <c r="B134" s="4" t="s">
        <v>8942</v>
      </c>
    </row>
    <row r="135">
      <c r="A135" s="4" t="s">
        <v>8943</v>
      </c>
      <c r="B135" s="4" t="s">
        <v>8944</v>
      </c>
    </row>
    <row r="136">
      <c r="A136" s="4" t="s">
        <v>8945</v>
      </c>
      <c r="B136" s="4" t="s">
        <v>8946</v>
      </c>
    </row>
    <row r="137">
      <c r="A137" s="4" t="s">
        <v>8947</v>
      </c>
      <c r="B137" s="4" t="s">
        <v>8948</v>
      </c>
    </row>
    <row r="138">
      <c r="A138" s="4" t="s">
        <v>8949</v>
      </c>
      <c r="B138" s="4" t="s">
        <v>8950</v>
      </c>
    </row>
    <row r="139">
      <c r="A139" s="4" t="s">
        <v>8951</v>
      </c>
      <c r="B139" s="4" t="s">
        <v>8952</v>
      </c>
    </row>
    <row r="140">
      <c r="A140" s="4" t="s">
        <v>8953</v>
      </c>
      <c r="B140" s="4" t="s">
        <v>8954</v>
      </c>
    </row>
    <row r="141">
      <c r="A141" s="4" t="s">
        <v>8955</v>
      </c>
      <c r="B141" s="4" t="s">
        <v>8956</v>
      </c>
    </row>
    <row r="142">
      <c r="A142" s="4" t="s">
        <v>8957</v>
      </c>
      <c r="B142" s="4" t="s">
        <v>8958</v>
      </c>
    </row>
    <row r="143">
      <c r="A143" s="4" t="s">
        <v>8959</v>
      </c>
      <c r="B143" s="4" t="s">
        <v>8960</v>
      </c>
    </row>
    <row r="144">
      <c r="A144" s="4" t="s">
        <v>8961</v>
      </c>
      <c r="B144" s="4" t="s">
        <v>8962</v>
      </c>
    </row>
    <row r="145">
      <c r="A145" s="4" t="s">
        <v>8963</v>
      </c>
      <c r="B145" s="4" t="s">
        <v>8964</v>
      </c>
    </row>
    <row r="146">
      <c r="A146" s="4" t="s">
        <v>8965</v>
      </c>
      <c r="B146" s="4" t="s">
        <v>8966</v>
      </c>
    </row>
    <row r="147">
      <c r="A147" s="4" t="s">
        <v>8967</v>
      </c>
      <c r="B147" s="4" t="s">
        <v>8968</v>
      </c>
    </row>
    <row r="148">
      <c r="A148" s="4" t="s">
        <v>8969</v>
      </c>
      <c r="B148" s="4" t="s">
        <v>8970</v>
      </c>
    </row>
    <row r="149">
      <c r="A149" s="4" t="s">
        <v>8971</v>
      </c>
      <c r="B149" s="4" t="s">
        <v>8972</v>
      </c>
    </row>
    <row r="150">
      <c r="A150" s="4" t="s">
        <v>8973</v>
      </c>
      <c r="B150" s="4" t="s">
        <v>8974</v>
      </c>
    </row>
    <row r="151">
      <c r="A151" s="4" t="s">
        <v>8975</v>
      </c>
      <c r="B151" s="4" t="s">
        <v>8976</v>
      </c>
    </row>
    <row r="152">
      <c r="A152" s="4" t="s">
        <v>8977</v>
      </c>
      <c r="B152" s="4" t="s">
        <v>8978</v>
      </c>
    </row>
    <row r="153">
      <c r="A153" s="4" t="s">
        <v>8979</v>
      </c>
      <c r="B153" s="4" t="s">
        <v>8980</v>
      </c>
    </row>
    <row r="154">
      <c r="A154" s="4" t="s">
        <v>8981</v>
      </c>
      <c r="B154" s="4" t="s">
        <v>8982</v>
      </c>
    </row>
    <row r="155">
      <c r="A155" s="4" t="s">
        <v>8983</v>
      </c>
      <c r="B155" s="4" t="s">
        <v>8984</v>
      </c>
    </row>
    <row r="156">
      <c r="A156" s="4" t="s">
        <v>8985</v>
      </c>
      <c r="B156" s="4" t="s">
        <v>8986</v>
      </c>
    </row>
    <row r="157">
      <c r="A157" s="4" t="s">
        <v>8987</v>
      </c>
      <c r="B157" s="4" t="s">
        <v>8988</v>
      </c>
    </row>
    <row r="158">
      <c r="A158" s="4" t="s">
        <v>8989</v>
      </c>
      <c r="B158" s="4" t="s">
        <v>8990</v>
      </c>
    </row>
    <row r="159">
      <c r="A159" s="4" t="s">
        <v>8991</v>
      </c>
      <c r="B159" s="4" t="s">
        <v>8992</v>
      </c>
    </row>
    <row r="160">
      <c r="A160" s="4" t="s">
        <v>8993</v>
      </c>
      <c r="B160" s="4" t="s">
        <v>8994</v>
      </c>
    </row>
    <row r="161">
      <c r="A161" s="4" t="s">
        <v>8995</v>
      </c>
      <c r="B161" s="4" t="s">
        <v>8996</v>
      </c>
    </row>
    <row r="162">
      <c r="A162" s="4" t="s">
        <v>8997</v>
      </c>
      <c r="B162" s="4" t="s">
        <v>8998</v>
      </c>
    </row>
    <row r="163">
      <c r="A163" s="4" t="s">
        <v>8999</v>
      </c>
      <c r="B163" s="4" t="s">
        <v>9000</v>
      </c>
    </row>
    <row r="164">
      <c r="A164" s="4" t="s">
        <v>9001</v>
      </c>
      <c r="B164" s="4" t="s">
        <v>9002</v>
      </c>
    </row>
    <row r="165">
      <c r="A165" s="4" t="s">
        <v>9003</v>
      </c>
      <c r="B165" s="4" t="s">
        <v>9004</v>
      </c>
    </row>
    <row r="166">
      <c r="A166" s="4" t="s">
        <v>9005</v>
      </c>
      <c r="B166" s="4" t="s">
        <v>9006</v>
      </c>
    </row>
    <row r="167">
      <c r="A167" s="4" t="s">
        <v>9007</v>
      </c>
      <c r="B167" s="4" t="s">
        <v>9008</v>
      </c>
    </row>
    <row r="168">
      <c r="A168" s="4" t="s">
        <v>9009</v>
      </c>
      <c r="B168" s="4" t="s">
        <v>9010</v>
      </c>
    </row>
    <row r="169">
      <c r="A169" s="4" t="s">
        <v>9011</v>
      </c>
      <c r="B169" s="4" t="s">
        <v>9012</v>
      </c>
    </row>
    <row r="170">
      <c r="A170" s="4" t="s">
        <v>9013</v>
      </c>
      <c r="B170" s="4" t="s">
        <v>9014</v>
      </c>
    </row>
    <row r="171">
      <c r="A171" s="4" t="s">
        <v>9015</v>
      </c>
      <c r="B171" s="4" t="s">
        <v>9016</v>
      </c>
    </row>
    <row r="172">
      <c r="A172" s="4" t="s">
        <v>9017</v>
      </c>
      <c r="B172" s="4" t="s">
        <v>9018</v>
      </c>
    </row>
    <row r="173">
      <c r="A173" s="4" t="s">
        <v>9019</v>
      </c>
      <c r="B173" s="4" t="s">
        <v>9020</v>
      </c>
    </row>
    <row r="174">
      <c r="A174" s="4" t="s">
        <v>9021</v>
      </c>
      <c r="B174" s="4" t="s">
        <v>9022</v>
      </c>
    </row>
    <row r="175">
      <c r="A175" s="4" t="s">
        <v>9023</v>
      </c>
      <c r="B175" s="4" t="s">
        <v>9024</v>
      </c>
    </row>
    <row r="176">
      <c r="A176" s="4" t="s">
        <v>9025</v>
      </c>
      <c r="B176" s="4" t="s">
        <v>9026</v>
      </c>
    </row>
    <row r="177">
      <c r="A177" s="4" t="s">
        <v>9027</v>
      </c>
      <c r="B177" s="4" t="s">
        <v>9028</v>
      </c>
    </row>
    <row r="178">
      <c r="A178" s="4" t="s">
        <v>9029</v>
      </c>
      <c r="B178" s="4" t="s">
        <v>9030</v>
      </c>
    </row>
    <row r="179">
      <c r="A179" s="4" t="s">
        <v>9031</v>
      </c>
      <c r="B179" s="4" t="s">
        <v>9032</v>
      </c>
    </row>
    <row r="180">
      <c r="A180" s="4" t="s">
        <v>9033</v>
      </c>
      <c r="B180" s="4" t="s">
        <v>9034</v>
      </c>
    </row>
    <row r="181">
      <c r="A181" s="4" t="s">
        <v>9035</v>
      </c>
      <c r="B181" s="4" t="s">
        <v>9036</v>
      </c>
    </row>
    <row r="182">
      <c r="A182" s="4" t="s">
        <v>9037</v>
      </c>
      <c r="B182" s="4" t="s">
        <v>9038</v>
      </c>
    </row>
    <row r="183">
      <c r="A183" s="4" t="s">
        <v>9039</v>
      </c>
      <c r="B183" s="4" t="s">
        <v>9040</v>
      </c>
    </row>
    <row r="184">
      <c r="A184" s="4" t="s">
        <v>9041</v>
      </c>
      <c r="B184" s="4" t="s">
        <v>9042</v>
      </c>
    </row>
    <row r="185">
      <c r="A185" s="4" t="s">
        <v>9043</v>
      </c>
      <c r="B185" s="4" t="s">
        <v>9044</v>
      </c>
    </row>
    <row r="186">
      <c r="A186" s="4" t="s">
        <v>9045</v>
      </c>
      <c r="B186" s="4" t="s">
        <v>9046</v>
      </c>
    </row>
    <row r="187">
      <c r="A187" s="4" t="s">
        <v>9047</v>
      </c>
      <c r="B187" s="4" t="s">
        <v>9048</v>
      </c>
    </row>
    <row r="188">
      <c r="A188" s="4" t="s">
        <v>9049</v>
      </c>
      <c r="B188" s="4" t="s">
        <v>9050</v>
      </c>
    </row>
    <row r="189">
      <c r="A189" s="4" t="s">
        <v>9051</v>
      </c>
      <c r="B189" s="4" t="s">
        <v>9052</v>
      </c>
    </row>
    <row r="190">
      <c r="A190" s="4" t="s">
        <v>9053</v>
      </c>
      <c r="B190" s="4" t="s">
        <v>9054</v>
      </c>
    </row>
    <row r="191">
      <c r="A191" s="4" t="s">
        <v>9055</v>
      </c>
      <c r="B191" s="4" t="s">
        <v>9056</v>
      </c>
    </row>
    <row r="192">
      <c r="A192" s="4" t="s">
        <v>9057</v>
      </c>
      <c r="B192" s="4" t="s">
        <v>9058</v>
      </c>
    </row>
    <row r="193">
      <c r="A193" s="4" t="s">
        <v>9059</v>
      </c>
      <c r="B193" s="4" t="s">
        <v>9060</v>
      </c>
    </row>
    <row r="194">
      <c r="A194" s="4" t="s">
        <v>9061</v>
      </c>
      <c r="B194" s="4" t="s">
        <v>9062</v>
      </c>
    </row>
    <row r="195">
      <c r="A195" s="4" t="s">
        <v>9063</v>
      </c>
      <c r="B195" s="4" t="s">
        <v>9064</v>
      </c>
    </row>
    <row r="196">
      <c r="A196" s="4" t="s">
        <v>9065</v>
      </c>
      <c r="B196" s="4" t="s">
        <v>9066</v>
      </c>
    </row>
    <row r="197">
      <c r="A197" s="4" t="s">
        <v>9067</v>
      </c>
      <c r="B197" s="4" t="s">
        <v>9068</v>
      </c>
    </row>
    <row r="198">
      <c r="A198" s="4" t="s">
        <v>9069</v>
      </c>
      <c r="B198" s="4" t="s">
        <v>9070</v>
      </c>
    </row>
    <row r="199">
      <c r="A199" s="4" t="s">
        <v>9071</v>
      </c>
      <c r="B199" s="4" t="s">
        <v>9072</v>
      </c>
    </row>
    <row r="200">
      <c r="A200" s="4" t="s">
        <v>9073</v>
      </c>
      <c r="B200" s="4" t="s">
        <v>9074</v>
      </c>
    </row>
    <row r="201">
      <c r="A201" s="4" t="s">
        <v>9075</v>
      </c>
      <c r="B201" s="4" t="s">
        <v>9076</v>
      </c>
    </row>
    <row r="202">
      <c r="A202" s="4" t="s">
        <v>9077</v>
      </c>
      <c r="B202" s="4" t="s">
        <v>9078</v>
      </c>
    </row>
    <row r="203">
      <c r="A203" s="4" t="s">
        <v>9079</v>
      </c>
      <c r="B203" s="4" t="s">
        <v>9080</v>
      </c>
    </row>
    <row r="204">
      <c r="A204" s="4" t="s">
        <v>9081</v>
      </c>
      <c r="B204" s="4" t="s">
        <v>9082</v>
      </c>
    </row>
    <row r="205">
      <c r="A205" s="4" t="s">
        <v>9083</v>
      </c>
      <c r="B205" s="4" t="s">
        <v>9084</v>
      </c>
    </row>
    <row r="206">
      <c r="A206" s="4" t="s">
        <v>9085</v>
      </c>
      <c r="B206" s="4" t="s">
        <v>9086</v>
      </c>
    </row>
    <row r="207">
      <c r="A207" s="4" t="s">
        <v>9087</v>
      </c>
      <c r="B207" s="4" t="s">
        <v>9088</v>
      </c>
    </row>
    <row r="208">
      <c r="A208" s="4" t="s">
        <v>9089</v>
      </c>
      <c r="B208" s="4" t="s">
        <v>9090</v>
      </c>
    </row>
    <row r="209">
      <c r="A209" s="4" t="s">
        <v>9091</v>
      </c>
      <c r="B209" s="4" t="s">
        <v>9092</v>
      </c>
    </row>
    <row r="210">
      <c r="A210" s="4" t="s">
        <v>9093</v>
      </c>
      <c r="B210" s="4" t="s">
        <v>9094</v>
      </c>
    </row>
    <row r="211">
      <c r="A211" s="4" t="s">
        <v>9095</v>
      </c>
      <c r="B211" s="4" t="s">
        <v>9096</v>
      </c>
    </row>
    <row r="212">
      <c r="A212" s="4" t="s">
        <v>9097</v>
      </c>
      <c r="B212" s="4" t="s">
        <v>9098</v>
      </c>
    </row>
    <row r="213">
      <c r="A213" s="4" t="s">
        <v>9099</v>
      </c>
      <c r="B213" s="4" t="s">
        <v>9100</v>
      </c>
    </row>
    <row r="214">
      <c r="A214" s="4" t="s">
        <v>9101</v>
      </c>
      <c r="B214" s="4" t="s">
        <v>9102</v>
      </c>
    </row>
    <row r="215">
      <c r="A215" s="4" t="s">
        <v>9103</v>
      </c>
      <c r="B215" s="4" t="s">
        <v>9104</v>
      </c>
    </row>
    <row r="216">
      <c r="A216" s="4" t="s">
        <v>9105</v>
      </c>
      <c r="B216" s="4" t="s">
        <v>9106</v>
      </c>
    </row>
    <row r="217">
      <c r="A217" s="4" t="s">
        <v>9107</v>
      </c>
      <c r="B217" s="4" t="s">
        <v>9108</v>
      </c>
    </row>
    <row r="218">
      <c r="A218" s="4" t="s">
        <v>9109</v>
      </c>
      <c r="B218" s="4" t="s">
        <v>9110</v>
      </c>
    </row>
    <row r="219">
      <c r="A219" s="4" t="s">
        <v>9111</v>
      </c>
      <c r="B219" s="4" t="s">
        <v>9112</v>
      </c>
    </row>
    <row r="220">
      <c r="A220" s="4" t="s">
        <v>9113</v>
      </c>
      <c r="B220" s="4" t="s">
        <v>9114</v>
      </c>
    </row>
    <row r="221">
      <c r="A221" s="4" t="s">
        <v>9115</v>
      </c>
      <c r="B221" s="4" t="s">
        <v>9116</v>
      </c>
    </row>
    <row r="222">
      <c r="A222" s="4" t="s">
        <v>9117</v>
      </c>
      <c r="B222" s="4" t="s">
        <v>9118</v>
      </c>
    </row>
    <row r="223">
      <c r="A223" s="4" t="s">
        <v>9119</v>
      </c>
      <c r="B223" s="4" t="s">
        <v>9120</v>
      </c>
    </row>
    <row r="224">
      <c r="A224" s="4" t="s">
        <v>9121</v>
      </c>
      <c r="B224" s="4" t="s">
        <v>9122</v>
      </c>
    </row>
    <row r="225">
      <c r="A225" s="4" t="s">
        <v>9123</v>
      </c>
      <c r="B225" s="4" t="s">
        <v>9124</v>
      </c>
    </row>
    <row r="226">
      <c r="A226" s="4" t="s">
        <v>9125</v>
      </c>
      <c r="B226" s="4" t="s">
        <v>9126</v>
      </c>
    </row>
    <row r="227">
      <c r="A227" s="4" t="s">
        <v>9127</v>
      </c>
      <c r="B227" s="4" t="s">
        <v>9128</v>
      </c>
    </row>
    <row r="228">
      <c r="A228" s="4" t="s">
        <v>9129</v>
      </c>
      <c r="B228" s="4" t="s">
        <v>9130</v>
      </c>
    </row>
    <row r="229">
      <c r="A229" s="4" t="s">
        <v>9131</v>
      </c>
      <c r="B229" s="4" t="s">
        <v>9132</v>
      </c>
    </row>
    <row r="230">
      <c r="A230" s="4" t="s">
        <v>9133</v>
      </c>
      <c r="B230" s="4" t="s">
        <v>9134</v>
      </c>
    </row>
    <row r="231">
      <c r="A231" s="4" t="s">
        <v>9135</v>
      </c>
      <c r="B231" s="4" t="s">
        <v>9136</v>
      </c>
    </row>
    <row r="232">
      <c r="A232" s="4" t="s">
        <v>9137</v>
      </c>
      <c r="B232" s="4" t="s">
        <v>9138</v>
      </c>
    </row>
    <row r="233">
      <c r="A233" s="4" t="s">
        <v>9139</v>
      </c>
      <c r="B233" s="4" t="s">
        <v>9140</v>
      </c>
    </row>
    <row r="234">
      <c r="A234" s="4" t="s">
        <v>9141</v>
      </c>
      <c r="B234" s="4" t="s">
        <v>9142</v>
      </c>
    </row>
    <row r="235">
      <c r="A235" s="4" t="s">
        <v>9143</v>
      </c>
      <c r="B235" s="4" t="s">
        <v>9144</v>
      </c>
    </row>
    <row r="236">
      <c r="A236" s="4" t="s">
        <v>9145</v>
      </c>
      <c r="B236" s="4" t="s">
        <v>9146</v>
      </c>
    </row>
    <row r="237">
      <c r="A237" s="4" t="s">
        <v>9147</v>
      </c>
      <c r="B237" s="4" t="s">
        <v>9148</v>
      </c>
    </row>
    <row r="238">
      <c r="A238" s="4" t="s">
        <v>9149</v>
      </c>
      <c r="B238" s="4" t="s">
        <v>9150</v>
      </c>
    </row>
    <row r="239">
      <c r="A239" s="4" t="s">
        <v>9151</v>
      </c>
      <c r="B239" s="4" t="s">
        <v>9152</v>
      </c>
    </row>
    <row r="240">
      <c r="A240" s="4" t="s">
        <v>9153</v>
      </c>
      <c r="B240" s="4" t="s">
        <v>9154</v>
      </c>
    </row>
    <row r="241">
      <c r="A241" s="4" t="s">
        <v>9155</v>
      </c>
      <c r="B241" s="4" t="s">
        <v>9156</v>
      </c>
    </row>
    <row r="242">
      <c r="A242" s="4" t="s">
        <v>9157</v>
      </c>
      <c r="B242" s="4" t="s">
        <v>9158</v>
      </c>
    </row>
    <row r="243">
      <c r="A243" s="4" t="s">
        <v>9159</v>
      </c>
      <c r="B243" s="4" t="s">
        <v>9160</v>
      </c>
    </row>
    <row r="244">
      <c r="A244" s="4" t="s">
        <v>9161</v>
      </c>
      <c r="B244" s="4" t="s">
        <v>9162</v>
      </c>
    </row>
    <row r="245">
      <c r="A245" s="4" t="s">
        <v>9163</v>
      </c>
      <c r="B245" s="4" t="s">
        <v>9164</v>
      </c>
    </row>
    <row r="246">
      <c r="A246" s="4" t="s">
        <v>9165</v>
      </c>
      <c r="B246" s="4" t="s">
        <v>9166</v>
      </c>
    </row>
    <row r="247">
      <c r="A247" s="4" t="s">
        <v>9167</v>
      </c>
      <c r="B247" s="4" t="s">
        <v>9168</v>
      </c>
    </row>
    <row r="248">
      <c r="A248" s="4" t="s">
        <v>9169</v>
      </c>
      <c r="B248" s="4" t="s">
        <v>9170</v>
      </c>
    </row>
    <row r="249">
      <c r="A249" s="4" t="s">
        <v>9171</v>
      </c>
      <c r="B249" s="4" t="s">
        <v>9172</v>
      </c>
    </row>
    <row r="250">
      <c r="A250" s="4" t="s">
        <v>9173</v>
      </c>
      <c r="B250" s="4" t="s">
        <v>9174</v>
      </c>
    </row>
    <row r="251">
      <c r="A251" s="4" t="s">
        <v>9175</v>
      </c>
      <c r="B251" s="4" t="s">
        <v>9176</v>
      </c>
    </row>
    <row r="252">
      <c r="A252" s="4" t="s">
        <v>9177</v>
      </c>
      <c r="B252" s="4" t="s">
        <v>9178</v>
      </c>
    </row>
    <row r="253">
      <c r="A253" s="4" t="s">
        <v>9179</v>
      </c>
      <c r="B253" s="4" t="s">
        <v>9180</v>
      </c>
    </row>
    <row r="254">
      <c r="A254" s="4" t="s">
        <v>9181</v>
      </c>
      <c r="B254" s="4" t="s">
        <v>9182</v>
      </c>
    </row>
    <row r="255">
      <c r="A255" s="4" t="s">
        <v>9183</v>
      </c>
      <c r="B255" s="4" t="s">
        <v>9184</v>
      </c>
    </row>
    <row r="256">
      <c r="A256" s="4" t="s">
        <v>9185</v>
      </c>
      <c r="B256" s="4" t="s">
        <v>9186</v>
      </c>
    </row>
    <row r="257">
      <c r="A257" s="4" t="s">
        <v>9187</v>
      </c>
      <c r="B257" s="4" t="s">
        <v>9188</v>
      </c>
    </row>
    <row r="258">
      <c r="A258" s="4" t="s">
        <v>9189</v>
      </c>
      <c r="B258" s="4" t="s">
        <v>9190</v>
      </c>
    </row>
    <row r="259">
      <c r="A259" s="4" t="s">
        <v>9191</v>
      </c>
      <c r="B259" s="4" t="s">
        <v>9192</v>
      </c>
    </row>
    <row r="260">
      <c r="A260" s="4" t="s">
        <v>9193</v>
      </c>
      <c r="B260" s="4" t="s">
        <v>9194</v>
      </c>
    </row>
    <row r="261">
      <c r="A261" s="4" t="s">
        <v>9195</v>
      </c>
      <c r="B261" s="4" t="s">
        <v>9196</v>
      </c>
    </row>
    <row r="262">
      <c r="A262" s="4" t="s">
        <v>9197</v>
      </c>
      <c r="B262" s="4" t="s">
        <v>9198</v>
      </c>
    </row>
    <row r="263">
      <c r="A263" s="4" t="s">
        <v>9199</v>
      </c>
      <c r="B263" s="4" t="s">
        <v>9200</v>
      </c>
    </row>
    <row r="264">
      <c r="A264" s="4" t="s">
        <v>9201</v>
      </c>
      <c r="B264" s="4" t="s">
        <v>9202</v>
      </c>
    </row>
    <row r="265">
      <c r="A265" s="4" t="s">
        <v>9203</v>
      </c>
      <c r="B265" s="4" t="s">
        <v>9204</v>
      </c>
    </row>
    <row r="266">
      <c r="A266" s="4" t="s">
        <v>9205</v>
      </c>
      <c r="B266" s="4" t="s">
        <v>9206</v>
      </c>
    </row>
    <row r="267">
      <c r="A267" s="4" t="s">
        <v>9207</v>
      </c>
      <c r="B267" s="4" t="s">
        <v>9208</v>
      </c>
    </row>
    <row r="268">
      <c r="A268" s="4" t="s">
        <v>9209</v>
      </c>
      <c r="B268" s="4" t="s">
        <v>9210</v>
      </c>
    </row>
    <row r="269">
      <c r="A269" s="4" t="s">
        <v>9211</v>
      </c>
      <c r="B269" s="4" t="s">
        <v>9212</v>
      </c>
    </row>
    <row r="270">
      <c r="A270" s="4" t="s">
        <v>9213</v>
      </c>
      <c r="B270" s="4" t="s">
        <v>9214</v>
      </c>
    </row>
    <row r="271">
      <c r="A271" s="4" t="s">
        <v>9215</v>
      </c>
      <c r="B271" s="4" t="s">
        <v>9216</v>
      </c>
    </row>
    <row r="272">
      <c r="A272" s="4" t="s">
        <v>9217</v>
      </c>
      <c r="B272" s="4" t="s">
        <v>9218</v>
      </c>
    </row>
    <row r="273">
      <c r="A273" s="4" t="s">
        <v>9219</v>
      </c>
      <c r="B273" s="4" t="s">
        <v>9220</v>
      </c>
    </row>
    <row r="274">
      <c r="A274" s="4" t="s">
        <v>9221</v>
      </c>
      <c r="B274" s="4" t="s">
        <v>9222</v>
      </c>
    </row>
    <row r="275">
      <c r="A275" s="4" t="s">
        <v>9223</v>
      </c>
      <c r="B275" s="4" t="s">
        <v>9224</v>
      </c>
    </row>
    <row r="276">
      <c r="A276" s="4" t="s">
        <v>9225</v>
      </c>
      <c r="B276" s="4" t="s">
        <v>9226</v>
      </c>
    </row>
    <row r="277">
      <c r="A277" s="4" t="s">
        <v>9227</v>
      </c>
      <c r="B277" s="4" t="s">
        <v>9228</v>
      </c>
    </row>
    <row r="278">
      <c r="A278" s="4" t="s">
        <v>9229</v>
      </c>
      <c r="B278" s="4" t="s">
        <v>9230</v>
      </c>
    </row>
    <row r="279">
      <c r="A279" s="4" t="s">
        <v>9231</v>
      </c>
      <c r="B279" s="4" t="s">
        <v>9232</v>
      </c>
    </row>
    <row r="280">
      <c r="A280" s="4" t="s">
        <v>9233</v>
      </c>
      <c r="B280" s="4" t="s">
        <v>9234</v>
      </c>
    </row>
    <row r="281">
      <c r="A281" s="4" t="s">
        <v>9235</v>
      </c>
      <c r="B281" s="4" t="s">
        <v>9236</v>
      </c>
    </row>
    <row r="282">
      <c r="A282" s="4" t="s">
        <v>9237</v>
      </c>
      <c r="B282" s="4" t="s">
        <v>9238</v>
      </c>
    </row>
    <row r="283">
      <c r="A283" s="4" t="s">
        <v>9239</v>
      </c>
      <c r="B283" s="4" t="s">
        <v>9240</v>
      </c>
    </row>
    <row r="284">
      <c r="A284" s="4" t="s">
        <v>9241</v>
      </c>
      <c r="B284" s="4" t="s">
        <v>9242</v>
      </c>
    </row>
    <row r="285">
      <c r="A285" s="4" t="s">
        <v>9243</v>
      </c>
      <c r="B285" s="4" t="s">
        <v>9244</v>
      </c>
    </row>
    <row r="286">
      <c r="A286" s="4" t="s">
        <v>9245</v>
      </c>
      <c r="B286" s="4" t="s">
        <v>9246</v>
      </c>
    </row>
    <row r="287">
      <c r="A287" s="4" t="s">
        <v>9247</v>
      </c>
      <c r="B287" s="4" t="s">
        <v>9248</v>
      </c>
    </row>
    <row r="288">
      <c r="A288" s="4" t="s">
        <v>9249</v>
      </c>
      <c r="B288" s="4" t="s">
        <v>9250</v>
      </c>
    </row>
    <row r="289">
      <c r="A289" s="4" t="s">
        <v>9251</v>
      </c>
      <c r="B289" s="4" t="s">
        <v>9252</v>
      </c>
    </row>
    <row r="290">
      <c r="A290" s="4" t="s">
        <v>9253</v>
      </c>
      <c r="B290" s="4" t="s">
        <v>9254</v>
      </c>
    </row>
    <row r="291">
      <c r="A291" s="4" t="s">
        <v>9255</v>
      </c>
      <c r="B291" s="4" t="s">
        <v>9256</v>
      </c>
    </row>
    <row r="292">
      <c r="A292" s="4" t="s">
        <v>9257</v>
      </c>
      <c r="B292" s="4" t="s">
        <v>9258</v>
      </c>
    </row>
    <row r="293">
      <c r="A293" s="4" t="s">
        <v>9259</v>
      </c>
      <c r="B293" s="4" t="s">
        <v>9260</v>
      </c>
    </row>
    <row r="294">
      <c r="A294" s="4" t="s">
        <v>9261</v>
      </c>
      <c r="B294" s="4" t="s">
        <v>9262</v>
      </c>
    </row>
    <row r="295">
      <c r="A295" s="4" t="s">
        <v>9263</v>
      </c>
      <c r="B295" s="4" t="s">
        <v>9264</v>
      </c>
    </row>
    <row r="296">
      <c r="A296" s="4" t="s">
        <v>9265</v>
      </c>
      <c r="B296" s="4" t="s">
        <v>9266</v>
      </c>
    </row>
    <row r="297">
      <c r="A297" s="4" t="s">
        <v>9267</v>
      </c>
      <c r="B297" s="4" t="s">
        <v>9268</v>
      </c>
    </row>
    <row r="298">
      <c r="A298" s="4" t="s">
        <v>9269</v>
      </c>
      <c r="B298" s="4" t="s">
        <v>9270</v>
      </c>
    </row>
    <row r="299">
      <c r="A299" s="4" t="s">
        <v>9271</v>
      </c>
      <c r="B299" s="4" t="s">
        <v>9272</v>
      </c>
    </row>
    <row r="300">
      <c r="A300" s="4" t="s">
        <v>9273</v>
      </c>
      <c r="B300" s="4" t="s">
        <v>9274</v>
      </c>
    </row>
    <row r="301">
      <c r="A301" s="4" t="s">
        <v>9275</v>
      </c>
      <c r="B301" s="4" t="s">
        <v>9276</v>
      </c>
    </row>
    <row r="302">
      <c r="A302" s="4" t="s">
        <v>9277</v>
      </c>
      <c r="B302" s="4" t="s">
        <v>9278</v>
      </c>
    </row>
    <row r="303">
      <c r="A303" s="4" t="s">
        <v>9279</v>
      </c>
      <c r="B303" s="4" t="s">
        <v>9280</v>
      </c>
    </row>
    <row r="304">
      <c r="A304" s="4" t="s">
        <v>9281</v>
      </c>
      <c r="B304" s="4" t="s">
        <v>9282</v>
      </c>
    </row>
    <row r="305">
      <c r="A305" s="4" t="s">
        <v>9283</v>
      </c>
      <c r="B305" s="4" t="s">
        <v>9284</v>
      </c>
    </row>
    <row r="306">
      <c r="A306" s="4" t="s">
        <v>9285</v>
      </c>
      <c r="B306" s="4" t="s">
        <v>9286</v>
      </c>
    </row>
    <row r="307">
      <c r="A307" s="4" t="s">
        <v>9287</v>
      </c>
      <c r="B307" s="4" t="s">
        <v>9288</v>
      </c>
    </row>
    <row r="308">
      <c r="A308" s="4" t="s">
        <v>9289</v>
      </c>
      <c r="B308" s="4" t="s">
        <v>9290</v>
      </c>
    </row>
    <row r="309">
      <c r="A309" s="4" t="s">
        <v>9291</v>
      </c>
      <c r="B309" s="4" t="s">
        <v>9292</v>
      </c>
    </row>
    <row r="310">
      <c r="A310" s="4" t="s">
        <v>9293</v>
      </c>
      <c r="B310" s="4" t="s">
        <v>9294</v>
      </c>
    </row>
    <row r="311">
      <c r="A311" s="4" t="s">
        <v>9295</v>
      </c>
      <c r="B311" s="4" t="s">
        <v>9296</v>
      </c>
    </row>
    <row r="312">
      <c r="A312" s="4" t="s">
        <v>9297</v>
      </c>
      <c r="B312" s="4" t="s">
        <v>9298</v>
      </c>
    </row>
    <row r="313">
      <c r="A313" s="4" t="s">
        <v>9299</v>
      </c>
      <c r="B313" s="4" t="s">
        <v>9300</v>
      </c>
    </row>
    <row r="314">
      <c r="A314" s="4" t="s">
        <v>9301</v>
      </c>
      <c r="B314" s="4" t="s">
        <v>9302</v>
      </c>
    </row>
    <row r="315">
      <c r="A315" s="4" t="s">
        <v>9303</v>
      </c>
      <c r="B315" s="4" t="s">
        <v>9304</v>
      </c>
    </row>
    <row r="316">
      <c r="A316" s="4" t="s">
        <v>9305</v>
      </c>
      <c r="B316" s="4" t="s">
        <v>9306</v>
      </c>
    </row>
    <row r="317">
      <c r="A317" s="4" t="s">
        <v>9307</v>
      </c>
      <c r="B317" s="4" t="s">
        <v>9308</v>
      </c>
    </row>
    <row r="318">
      <c r="A318" s="4" t="s">
        <v>9309</v>
      </c>
      <c r="B318" s="4" t="s">
        <v>9310</v>
      </c>
    </row>
    <row r="319">
      <c r="A319" s="4" t="s">
        <v>9311</v>
      </c>
      <c r="B319" s="4" t="s">
        <v>9312</v>
      </c>
    </row>
    <row r="320">
      <c r="A320" s="4" t="s">
        <v>9313</v>
      </c>
      <c r="B320" s="4" t="s">
        <v>9314</v>
      </c>
    </row>
    <row r="321">
      <c r="A321" s="4" t="s">
        <v>9315</v>
      </c>
      <c r="B321" s="4" t="s">
        <v>9316</v>
      </c>
    </row>
    <row r="322">
      <c r="A322" s="4" t="s">
        <v>9317</v>
      </c>
      <c r="B322" s="4" t="s">
        <v>9318</v>
      </c>
    </row>
    <row r="323">
      <c r="A323" s="4" t="s">
        <v>9319</v>
      </c>
      <c r="B323" s="4" t="s">
        <v>9320</v>
      </c>
    </row>
    <row r="324">
      <c r="A324" s="4" t="s">
        <v>9321</v>
      </c>
      <c r="B324" s="4" t="s">
        <v>9322</v>
      </c>
    </row>
    <row r="325">
      <c r="A325" s="4" t="s">
        <v>9323</v>
      </c>
      <c r="B325" s="4" t="s">
        <v>9324</v>
      </c>
    </row>
    <row r="326">
      <c r="A326" s="4" t="s">
        <v>9325</v>
      </c>
      <c r="B326" s="4" t="s">
        <v>9326</v>
      </c>
    </row>
    <row r="327">
      <c r="A327" s="4" t="s">
        <v>9327</v>
      </c>
      <c r="B327" s="4" t="s">
        <v>9328</v>
      </c>
    </row>
    <row r="328">
      <c r="A328" s="4" t="s">
        <v>9329</v>
      </c>
      <c r="B328" s="4" t="s">
        <v>9330</v>
      </c>
    </row>
    <row r="329">
      <c r="A329" s="4" t="s">
        <v>9331</v>
      </c>
      <c r="B329" s="4" t="s">
        <v>9332</v>
      </c>
    </row>
    <row r="330">
      <c r="A330" s="4" t="s">
        <v>9333</v>
      </c>
      <c r="B330" s="4" t="s">
        <v>9334</v>
      </c>
    </row>
    <row r="331">
      <c r="A331" s="4" t="s">
        <v>9335</v>
      </c>
      <c r="B331" s="4" t="s">
        <v>9336</v>
      </c>
    </row>
    <row r="332">
      <c r="A332" s="4" t="s">
        <v>9337</v>
      </c>
      <c r="B332" s="4" t="s">
        <v>9338</v>
      </c>
    </row>
    <row r="333">
      <c r="A333" s="4" t="s">
        <v>9339</v>
      </c>
      <c r="B333" s="4" t="s">
        <v>9340</v>
      </c>
    </row>
    <row r="334">
      <c r="A334" s="4" t="s">
        <v>9341</v>
      </c>
      <c r="B334" s="4" t="s">
        <v>9342</v>
      </c>
    </row>
    <row r="335">
      <c r="A335" s="4" t="s">
        <v>9343</v>
      </c>
      <c r="B335" s="4" t="s">
        <v>9344</v>
      </c>
    </row>
    <row r="336">
      <c r="A336" s="4" t="s">
        <v>9345</v>
      </c>
      <c r="B336" s="4" t="s">
        <v>9346</v>
      </c>
    </row>
    <row r="337">
      <c r="A337" s="4" t="s">
        <v>9347</v>
      </c>
      <c r="B337" s="4" t="s">
        <v>9348</v>
      </c>
    </row>
    <row r="338">
      <c r="A338" s="4" t="s">
        <v>9349</v>
      </c>
      <c r="B338" s="4" t="s">
        <v>9350</v>
      </c>
    </row>
    <row r="339">
      <c r="A339" s="4" t="s">
        <v>9351</v>
      </c>
      <c r="B339" s="4" t="s">
        <v>9352</v>
      </c>
    </row>
    <row r="340">
      <c r="A340" s="4" t="s">
        <v>9353</v>
      </c>
      <c r="B340" s="4" t="s">
        <v>9354</v>
      </c>
    </row>
    <row r="341">
      <c r="A341" s="4" t="s">
        <v>9355</v>
      </c>
      <c r="B341" s="4" t="s">
        <v>9356</v>
      </c>
    </row>
    <row r="342">
      <c r="A342" s="4" t="s">
        <v>9357</v>
      </c>
      <c r="B342" s="4" t="s">
        <v>9358</v>
      </c>
    </row>
    <row r="343">
      <c r="A343" s="4" t="s">
        <v>9359</v>
      </c>
      <c r="B343" s="4" t="s">
        <v>9360</v>
      </c>
    </row>
    <row r="344">
      <c r="A344" s="4" t="s">
        <v>9361</v>
      </c>
      <c r="B344" s="4" t="s">
        <v>9362</v>
      </c>
    </row>
    <row r="345">
      <c r="A345" s="4" t="s">
        <v>9363</v>
      </c>
      <c r="B345" s="4" t="s">
        <v>9364</v>
      </c>
    </row>
    <row r="346">
      <c r="A346" s="4" t="s">
        <v>9365</v>
      </c>
      <c r="B346" s="4" t="s">
        <v>9366</v>
      </c>
    </row>
    <row r="347">
      <c r="A347" s="4" t="s">
        <v>9367</v>
      </c>
      <c r="B347" s="4" t="s">
        <v>9368</v>
      </c>
    </row>
    <row r="348">
      <c r="A348" s="4" t="s">
        <v>9369</v>
      </c>
      <c r="B348" s="4" t="s">
        <v>9370</v>
      </c>
    </row>
    <row r="349">
      <c r="A349" s="4" t="s">
        <v>9371</v>
      </c>
      <c r="B349" s="4" t="s">
        <v>9372</v>
      </c>
    </row>
    <row r="350">
      <c r="A350" s="4" t="s">
        <v>9373</v>
      </c>
      <c r="B350" s="4" t="s">
        <v>9374</v>
      </c>
    </row>
    <row r="351">
      <c r="A351" s="4" t="s">
        <v>9375</v>
      </c>
      <c r="B351" s="4" t="s">
        <v>9376</v>
      </c>
    </row>
    <row r="352">
      <c r="A352" s="4" t="s">
        <v>9377</v>
      </c>
      <c r="B352" s="4" t="s">
        <v>9378</v>
      </c>
    </row>
    <row r="353">
      <c r="A353" s="4" t="s">
        <v>9379</v>
      </c>
      <c r="B353" s="4" t="s">
        <v>9380</v>
      </c>
    </row>
    <row r="354">
      <c r="A354" s="4" t="s">
        <v>9381</v>
      </c>
      <c r="B354" s="4" t="s">
        <v>9382</v>
      </c>
    </row>
    <row r="355">
      <c r="A355" s="4" t="s">
        <v>9383</v>
      </c>
      <c r="B355" s="4" t="s">
        <v>9384</v>
      </c>
    </row>
    <row r="356">
      <c r="A356" s="4" t="s">
        <v>9385</v>
      </c>
      <c r="B356" s="4" t="s">
        <v>9386</v>
      </c>
    </row>
    <row r="357">
      <c r="A357" s="4" t="s">
        <v>9387</v>
      </c>
      <c r="B357" s="4" t="s">
        <v>9388</v>
      </c>
    </row>
    <row r="358">
      <c r="A358" s="4" t="s">
        <v>9389</v>
      </c>
      <c r="B358" s="4" t="s">
        <v>9390</v>
      </c>
    </row>
    <row r="359">
      <c r="A359" s="4" t="s">
        <v>9391</v>
      </c>
      <c r="B359" s="4" t="s">
        <v>9392</v>
      </c>
    </row>
    <row r="360">
      <c r="A360" s="4" t="s">
        <v>9393</v>
      </c>
      <c r="B360" s="4" t="s">
        <v>9394</v>
      </c>
    </row>
    <row r="361">
      <c r="A361" s="4" t="s">
        <v>9395</v>
      </c>
      <c r="B361" s="4" t="s">
        <v>9396</v>
      </c>
    </row>
    <row r="362">
      <c r="A362" s="4" t="s">
        <v>9397</v>
      </c>
      <c r="B362" s="4" t="s">
        <v>9398</v>
      </c>
    </row>
    <row r="363">
      <c r="A363" s="4" t="s">
        <v>9399</v>
      </c>
      <c r="B363" s="4" t="s">
        <v>9400</v>
      </c>
    </row>
    <row r="364">
      <c r="A364" s="4" t="s">
        <v>9401</v>
      </c>
      <c r="B364" s="4" t="s">
        <v>9402</v>
      </c>
    </row>
    <row r="365">
      <c r="A365" s="4" t="s">
        <v>9403</v>
      </c>
      <c r="B365" s="4" t="s">
        <v>9404</v>
      </c>
    </row>
    <row r="366">
      <c r="A366" s="4" t="s">
        <v>9405</v>
      </c>
      <c r="B366" s="4" t="s">
        <v>9406</v>
      </c>
    </row>
    <row r="367">
      <c r="A367" s="4" t="s">
        <v>9407</v>
      </c>
      <c r="B367" s="4" t="s">
        <v>9406</v>
      </c>
    </row>
    <row r="368">
      <c r="A368" s="4" t="s">
        <v>9408</v>
      </c>
      <c r="B368" s="4" t="s">
        <v>9409</v>
      </c>
    </row>
    <row r="369">
      <c r="A369" s="4" t="s">
        <v>9410</v>
      </c>
      <c r="B369" s="4" t="s">
        <v>9411</v>
      </c>
    </row>
    <row r="370">
      <c r="A370" s="4" t="s">
        <v>9412</v>
      </c>
      <c r="B370" s="4" t="s">
        <v>9413</v>
      </c>
    </row>
    <row r="371">
      <c r="A371" s="4" t="s">
        <v>9414</v>
      </c>
      <c r="B371" s="4" t="s">
        <v>9415</v>
      </c>
    </row>
    <row r="372">
      <c r="A372" s="4" t="s">
        <v>9416</v>
      </c>
      <c r="B372" s="4" t="s">
        <v>9417</v>
      </c>
    </row>
    <row r="373">
      <c r="A373" s="4" t="s">
        <v>9418</v>
      </c>
      <c r="B373" s="4" t="s">
        <v>9419</v>
      </c>
    </row>
    <row r="374">
      <c r="A374" s="4" t="s">
        <v>9420</v>
      </c>
      <c r="B374" s="4" t="s">
        <v>9421</v>
      </c>
    </row>
    <row r="375">
      <c r="A375" s="4" t="s">
        <v>9422</v>
      </c>
      <c r="B375" s="4" t="s">
        <v>9423</v>
      </c>
    </row>
    <row r="376">
      <c r="A376" s="4" t="s">
        <v>9424</v>
      </c>
      <c r="B376" s="4" t="s">
        <v>9425</v>
      </c>
    </row>
    <row r="377">
      <c r="A377" s="4" t="s">
        <v>9426</v>
      </c>
      <c r="B377" s="4" t="s">
        <v>9427</v>
      </c>
    </row>
    <row r="378">
      <c r="A378" s="4" t="s">
        <v>9428</v>
      </c>
      <c r="B378" s="4" t="s">
        <v>9429</v>
      </c>
    </row>
    <row r="379">
      <c r="A379" s="4" t="s">
        <v>9430</v>
      </c>
      <c r="B379" s="4" t="s">
        <v>9431</v>
      </c>
    </row>
    <row r="380">
      <c r="A380" s="4" t="s">
        <v>9432</v>
      </c>
      <c r="B380" s="4" t="s">
        <v>9433</v>
      </c>
    </row>
    <row r="381">
      <c r="A381" s="4" t="s">
        <v>9434</v>
      </c>
      <c r="B381" s="4" t="s">
        <v>9435</v>
      </c>
    </row>
    <row r="382">
      <c r="A382" s="4" t="s">
        <v>9436</v>
      </c>
      <c r="B382" s="4" t="s">
        <v>9437</v>
      </c>
    </row>
    <row r="383">
      <c r="A383" s="4" t="s">
        <v>9438</v>
      </c>
      <c r="B383" s="4" t="s">
        <v>9439</v>
      </c>
    </row>
    <row r="384">
      <c r="A384" s="4" t="s">
        <v>9440</v>
      </c>
      <c r="B384" s="4" t="s">
        <v>9441</v>
      </c>
    </row>
    <row r="385">
      <c r="A385" s="4" t="s">
        <v>9442</v>
      </c>
      <c r="B385" s="4" t="s">
        <v>9443</v>
      </c>
    </row>
    <row r="386">
      <c r="A386" s="4" t="s">
        <v>9444</v>
      </c>
      <c r="B386" s="4" t="s">
        <v>9445</v>
      </c>
    </row>
    <row r="387">
      <c r="A387" s="4" t="s">
        <v>9446</v>
      </c>
      <c r="B387" s="4" t="s">
        <v>9447</v>
      </c>
    </row>
    <row r="388">
      <c r="A388" s="4" t="s">
        <v>9448</v>
      </c>
      <c r="B388" s="4" t="s">
        <v>9449</v>
      </c>
    </row>
    <row r="389">
      <c r="A389" s="4" t="s">
        <v>9450</v>
      </c>
      <c r="B389" s="4" t="s">
        <v>9451</v>
      </c>
    </row>
    <row r="390">
      <c r="A390" s="4" t="s">
        <v>9452</v>
      </c>
      <c r="B390" s="4" t="s">
        <v>9453</v>
      </c>
    </row>
    <row r="391">
      <c r="A391" s="4" t="s">
        <v>9454</v>
      </c>
      <c r="B391" s="4" t="s">
        <v>9455</v>
      </c>
    </row>
    <row r="392">
      <c r="A392" s="4" t="s">
        <v>9456</v>
      </c>
      <c r="B392" s="4" t="s">
        <v>9457</v>
      </c>
    </row>
    <row r="393">
      <c r="A393" s="4" t="s">
        <v>9458</v>
      </c>
      <c r="B393" s="4" t="s">
        <v>9459</v>
      </c>
    </row>
    <row r="394">
      <c r="A394" s="4" t="s">
        <v>9460</v>
      </c>
      <c r="B394" s="4" t="s">
        <v>9461</v>
      </c>
    </row>
    <row r="395">
      <c r="A395" s="4" t="s">
        <v>9462</v>
      </c>
      <c r="B395" s="4" t="s">
        <v>9463</v>
      </c>
    </row>
    <row r="396">
      <c r="A396" s="4" t="s">
        <v>9464</v>
      </c>
      <c r="B396" s="4" t="s">
        <v>9465</v>
      </c>
    </row>
    <row r="397">
      <c r="A397" s="4" t="s">
        <v>9466</v>
      </c>
      <c r="B397" s="4" t="s">
        <v>9467</v>
      </c>
    </row>
    <row r="398">
      <c r="A398" s="4" t="s">
        <v>9468</v>
      </c>
      <c r="B398" s="4" t="s">
        <v>9469</v>
      </c>
    </row>
    <row r="399">
      <c r="A399" s="4" t="s">
        <v>9470</v>
      </c>
      <c r="B399" s="4" t="s">
        <v>9471</v>
      </c>
    </row>
    <row r="400">
      <c r="A400" s="4" t="s">
        <v>9472</v>
      </c>
      <c r="B400" s="4" t="s">
        <v>9473</v>
      </c>
    </row>
    <row r="401">
      <c r="A401" s="4" t="s">
        <v>9474</v>
      </c>
      <c r="B401" s="4" t="s">
        <v>9475</v>
      </c>
    </row>
    <row r="402">
      <c r="A402" s="4" t="s">
        <v>9476</v>
      </c>
      <c r="B402" s="4" t="s">
        <v>9477</v>
      </c>
    </row>
    <row r="403">
      <c r="A403" s="4" t="s">
        <v>9478</v>
      </c>
      <c r="B403" s="4" t="s">
        <v>9479</v>
      </c>
    </row>
    <row r="404">
      <c r="A404" s="4" t="s">
        <v>9480</v>
      </c>
      <c r="B404" s="4" t="s">
        <v>9481</v>
      </c>
    </row>
    <row r="405">
      <c r="A405" s="4" t="s">
        <v>9482</v>
      </c>
      <c r="B405" s="4" t="s">
        <v>9483</v>
      </c>
    </row>
    <row r="406">
      <c r="A406" s="4" t="s">
        <v>9484</v>
      </c>
      <c r="B406" s="4" t="s">
        <v>9485</v>
      </c>
    </row>
    <row r="407">
      <c r="A407" s="4" t="s">
        <v>9486</v>
      </c>
      <c r="B407" s="4" t="s">
        <v>9487</v>
      </c>
    </row>
    <row r="408">
      <c r="A408" s="4" t="s">
        <v>9488</v>
      </c>
      <c r="B408" s="4" t="s">
        <v>9489</v>
      </c>
    </row>
    <row r="409">
      <c r="A409" s="4" t="s">
        <v>9490</v>
      </c>
      <c r="B409" s="4" t="s">
        <v>9491</v>
      </c>
    </row>
    <row r="410">
      <c r="A410" s="4" t="s">
        <v>9492</v>
      </c>
      <c r="B410" s="4" t="s">
        <v>9493</v>
      </c>
    </row>
    <row r="411">
      <c r="A411" s="4" t="s">
        <v>9494</v>
      </c>
      <c r="B411" s="4" t="s">
        <v>9495</v>
      </c>
    </row>
    <row r="412">
      <c r="A412" s="4" t="s">
        <v>9496</v>
      </c>
      <c r="B412" s="4" t="s">
        <v>9497</v>
      </c>
    </row>
    <row r="413">
      <c r="A413" s="4" t="s">
        <v>9498</v>
      </c>
      <c r="B413" s="4" t="s">
        <v>9499</v>
      </c>
    </row>
    <row r="414">
      <c r="A414" s="4" t="s">
        <v>9500</v>
      </c>
      <c r="B414" s="4" t="s">
        <v>9501</v>
      </c>
    </row>
    <row r="415">
      <c r="A415" s="4" t="s">
        <v>9502</v>
      </c>
      <c r="B415" s="4" t="s">
        <v>9503</v>
      </c>
    </row>
    <row r="416">
      <c r="A416" s="4" t="s">
        <v>9504</v>
      </c>
      <c r="B416" s="4" t="s">
        <v>9505</v>
      </c>
    </row>
    <row r="417">
      <c r="A417" s="4" t="s">
        <v>9506</v>
      </c>
      <c r="B417" s="4" t="s">
        <v>9507</v>
      </c>
    </row>
    <row r="418">
      <c r="A418" s="4" t="s">
        <v>9508</v>
      </c>
      <c r="B418" s="4" t="s">
        <v>9509</v>
      </c>
    </row>
    <row r="419">
      <c r="A419" s="4" t="s">
        <v>9510</v>
      </c>
      <c r="B419" s="4" t="s">
        <v>9511</v>
      </c>
    </row>
    <row r="420">
      <c r="A420" s="4" t="s">
        <v>9512</v>
      </c>
      <c r="B420" s="4" t="s">
        <v>9513</v>
      </c>
    </row>
    <row r="421">
      <c r="A421" s="4" t="s">
        <v>9514</v>
      </c>
      <c r="B421" s="4" t="s">
        <v>9515</v>
      </c>
    </row>
    <row r="422">
      <c r="A422" s="4" t="s">
        <v>9516</v>
      </c>
      <c r="B422" s="4" t="s">
        <v>9517</v>
      </c>
    </row>
    <row r="423">
      <c r="A423" s="4" t="s">
        <v>9518</v>
      </c>
      <c r="B423" s="4" t="s">
        <v>9519</v>
      </c>
    </row>
    <row r="424">
      <c r="A424" s="4" t="s">
        <v>9520</v>
      </c>
      <c r="B424" s="4" t="s">
        <v>9521</v>
      </c>
    </row>
    <row r="425">
      <c r="A425" s="4" t="s">
        <v>9522</v>
      </c>
      <c r="B425" s="4" t="s">
        <v>9523</v>
      </c>
    </row>
    <row r="426">
      <c r="A426" s="4" t="s">
        <v>9524</v>
      </c>
      <c r="B426" s="4" t="s">
        <v>9525</v>
      </c>
    </row>
    <row r="427">
      <c r="A427" s="4" t="s">
        <v>9526</v>
      </c>
      <c r="B427" s="4" t="s">
        <v>9527</v>
      </c>
    </row>
    <row r="428">
      <c r="A428" s="4" t="s">
        <v>9528</v>
      </c>
      <c r="B428" s="4" t="s">
        <v>9529</v>
      </c>
    </row>
    <row r="429">
      <c r="A429" s="4" t="s">
        <v>9530</v>
      </c>
      <c r="B429" s="4" t="s">
        <v>9531</v>
      </c>
    </row>
    <row r="430">
      <c r="A430" s="4" t="s">
        <v>9532</v>
      </c>
      <c r="B430" s="4" t="s">
        <v>9533</v>
      </c>
    </row>
    <row r="431">
      <c r="A431" s="4" t="s">
        <v>9534</v>
      </c>
      <c r="B431" s="4" t="s">
        <v>9535</v>
      </c>
    </row>
    <row r="432">
      <c r="A432" s="4" t="s">
        <v>9536</v>
      </c>
      <c r="B432" s="4" t="s">
        <v>9537</v>
      </c>
    </row>
    <row r="433">
      <c r="A433" s="4" t="s">
        <v>9538</v>
      </c>
      <c r="B433" s="4" t="s">
        <v>9539</v>
      </c>
    </row>
    <row r="434">
      <c r="A434" s="4" t="s">
        <v>9540</v>
      </c>
      <c r="B434" s="4" t="s">
        <v>9541</v>
      </c>
    </row>
    <row r="435">
      <c r="A435" s="4" t="s">
        <v>9542</v>
      </c>
      <c r="B435" s="4" t="s">
        <v>9543</v>
      </c>
    </row>
    <row r="436">
      <c r="A436" s="4" t="s">
        <v>9544</v>
      </c>
      <c r="B436" s="4" t="s">
        <v>9545</v>
      </c>
    </row>
    <row r="437">
      <c r="A437" s="4" t="s">
        <v>9546</v>
      </c>
      <c r="B437" s="4" t="s">
        <v>9547</v>
      </c>
    </row>
    <row r="438">
      <c r="A438" s="4" t="s">
        <v>9548</v>
      </c>
      <c r="B438" s="4" t="s">
        <v>9549</v>
      </c>
    </row>
    <row r="439">
      <c r="A439" s="4" t="s">
        <v>9550</v>
      </c>
      <c r="B439" s="4" t="s">
        <v>9551</v>
      </c>
    </row>
    <row r="440">
      <c r="A440" s="4" t="s">
        <v>9552</v>
      </c>
      <c r="B440" s="4" t="s">
        <v>9553</v>
      </c>
    </row>
    <row r="441">
      <c r="A441" s="4" t="s">
        <v>9554</v>
      </c>
      <c r="B441" s="4" t="s">
        <v>9555</v>
      </c>
    </row>
    <row r="442">
      <c r="A442" s="4" t="s">
        <v>9556</v>
      </c>
      <c r="B442" s="4" t="s">
        <v>9557</v>
      </c>
    </row>
    <row r="443">
      <c r="A443" s="4" t="s">
        <v>9558</v>
      </c>
      <c r="B443" s="4" t="s">
        <v>9559</v>
      </c>
    </row>
    <row r="444">
      <c r="A444" s="4" t="s">
        <v>9560</v>
      </c>
      <c r="B444" s="4" t="s">
        <v>9561</v>
      </c>
    </row>
    <row r="445">
      <c r="A445" s="4" t="s">
        <v>9562</v>
      </c>
      <c r="B445" s="4" t="s">
        <v>9563</v>
      </c>
    </row>
    <row r="446">
      <c r="A446" s="4" t="s">
        <v>9564</v>
      </c>
      <c r="B446" s="4" t="s">
        <v>9565</v>
      </c>
    </row>
    <row r="447">
      <c r="A447" s="4" t="s">
        <v>9566</v>
      </c>
      <c r="B447" s="4" t="s">
        <v>9567</v>
      </c>
    </row>
    <row r="448">
      <c r="A448" s="4" t="s">
        <v>9568</v>
      </c>
      <c r="B448" s="4" t="s">
        <v>9569</v>
      </c>
    </row>
    <row r="449">
      <c r="A449" s="4" t="s">
        <v>9570</v>
      </c>
      <c r="B449" s="4" t="s">
        <v>9571</v>
      </c>
    </row>
    <row r="450">
      <c r="A450" s="4" t="s">
        <v>9572</v>
      </c>
      <c r="B450" s="4" t="s">
        <v>9573</v>
      </c>
    </row>
    <row r="451">
      <c r="A451" s="4" t="s">
        <v>9574</v>
      </c>
      <c r="B451" s="4" t="s">
        <v>9575</v>
      </c>
    </row>
    <row r="452">
      <c r="A452" s="4" t="s">
        <v>9576</v>
      </c>
      <c r="B452" s="4" t="s">
        <v>9577</v>
      </c>
    </row>
    <row r="453">
      <c r="A453" s="4" t="s">
        <v>9578</v>
      </c>
      <c r="B453" s="4" t="s">
        <v>9579</v>
      </c>
    </row>
    <row r="454">
      <c r="A454" s="4" t="s">
        <v>9580</v>
      </c>
      <c r="B454" s="4" t="s">
        <v>9581</v>
      </c>
    </row>
    <row r="455">
      <c r="A455" s="4" t="s">
        <v>9582</v>
      </c>
      <c r="B455" s="4" t="s">
        <v>9583</v>
      </c>
    </row>
    <row r="456">
      <c r="A456" s="4" t="s">
        <v>9584</v>
      </c>
      <c r="B456" s="4" t="s">
        <v>9585</v>
      </c>
    </row>
    <row r="457">
      <c r="A457" s="4" t="s">
        <v>9586</v>
      </c>
      <c r="B457" s="4" t="s">
        <v>9587</v>
      </c>
    </row>
    <row r="458">
      <c r="A458" s="4" t="s">
        <v>9588</v>
      </c>
      <c r="B458" s="4" t="s">
        <v>9589</v>
      </c>
    </row>
    <row r="459">
      <c r="A459" s="4" t="s">
        <v>9590</v>
      </c>
      <c r="B459" s="4" t="s">
        <v>9591</v>
      </c>
    </row>
    <row r="460">
      <c r="A460" s="4" t="s">
        <v>9592</v>
      </c>
      <c r="B460" s="4" t="s">
        <v>9593</v>
      </c>
    </row>
    <row r="461">
      <c r="A461" s="4" t="s">
        <v>9594</v>
      </c>
      <c r="B461" s="4" t="s">
        <v>9595</v>
      </c>
    </row>
    <row r="462">
      <c r="A462" s="4" t="s">
        <v>9596</v>
      </c>
      <c r="B462" s="4" t="s">
        <v>9597</v>
      </c>
    </row>
    <row r="463">
      <c r="A463" s="4" t="s">
        <v>9598</v>
      </c>
      <c r="B463" s="4" t="s">
        <v>9597</v>
      </c>
    </row>
    <row r="464">
      <c r="A464" s="4" t="s">
        <v>9599</v>
      </c>
      <c r="B464" s="4" t="s">
        <v>9600</v>
      </c>
    </row>
    <row r="465">
      <c r="A465" s="4" t="s">
        <v>9601</v>
      </c>
      <c r="B465" s="4" t="s">
        <v>9602</v>
      </c>
    </row>
    <row r="466">
      <c r="A466" s="4" t="s">
        <v>9603</v>
      </c>
      <c r="B466" s="4" t="s">
        <v>9604</v>
      </c>
    </row>
    <row r="467">
      <c r="A467" s="4" t="s">
        <v>9605</v>
      </c>
      <c r="B467" s="4" t="s">
        <v>9606</v>
      </c>
    </row>
    <row r="468">
      <c r="A468" s="4" t="s">
        <v>9607</v>
      </c>
      <c r="B468" s="4" t="s">
        <v>9608</v>
      </c>
    </row>
    <row r="469">
      <c r="A469" s="4" t="s">
        <v>9609</v>
      </c>
      <c r="B469" s="4" t="s">
        <v>9610</v>
      </c>
    </row>
    <row r="470">
      <c r="A470" s="4" t="s">
        <v>9611</v>
      </c>
      <c r="B470" s="4" t="s">
        <v>9612</v>
      </c>
    </row>
    <row r="471">
      <c r="A471" s="4" t="s">
        <v>9613</v>
      </c>
      <c r="B471" s="4" t="s">
        <v>9614</v>
      </c>
    </row>
    <row r="472">
      <c r="A472" s="4" t="s">
        <v>9615</v>
      </c>
      <c r="B472" s="4" t="s">
        <v>9616</v>
      </c>
    </row>
    <row r="473">
      <c r="A473" s="4" t="s">
        <v>9617</v>
      </c>
      <c r="B473" s="4" t="s">
        <v>9618</v>
      </c>
    </row>
    <row r="474">
      <c r="A474" s="4" t="s">
        <v>9619</v>
      </c>
      <c r="B474" s="4" t="s">
        <v>9620</v>
      </c>
    </row>
    <row r="475">
      <c r="A475" s="4" t="s">
        <v>9621</v>
      </c>
      <c r="B475" s="4" t="s">
        <v>9622</v>
      </c>
    </row>
    <row r="476">
      <c r="A476" s="4" t="s">
        <v>9623</v>
      </c>
      <c r="B476" s="4" t="s">
        <v>9624</v>
      </c>
    </row>
    <row r="477">
      <c r="A477" s="4" t="s">
        <v>9625</v>
      </c>
      <c r="B477" s="4" t="s">
        <v>9626</v>
      </c>
    </row>
    <row r="478">
      <c r="A478" s="4" t="s">
        <v>9627</v>
      </c>
      <c r="B478" s="4" t="s">
        <v>9628</v>
      </c>
    </row>
    <row r="479">
      <c r="A479" s="4" t="s">
        <v>9629</v>
      </c>
      <c r="B479" s="4" t="s">
        <v>9630</v>
      </c>
    </row>
    <row r="480">
      <c r="A480" s="4" t="s">
        <v>9631</v>
      </c>
      <c r="B480" s="4" t="s">
        <v>9632</v>
      </c>
    </row>
    <row r="481">
      <c r="A481" s="4" t="s">
        <v>9633</v>
      </c>
      <c r="B481" s="4" t="s">
        <v>9634</v>
      </c>
    </row>
    <row r="482">
      <c r="A482" s="4" t="s">
        <v>9635</v>
      </c>
      <c r="B482" s="4" t="s">
        <v>9636</v>
      </c>
    </row>
    <row r="483">
      <c r="A483" s="4" t="s">
        <v>9637</v>
      </c>
      <c r="B483" s="4" t="s">
        <v>9638</v>
      </c>
    </row>
    <row r="484">
      <c r="A484" s="4" t="s">
        <v>9639</v>
      </c>
      <c r="B484" s="4" t="s">
        <v>9640</v>
      </c>
    </row>
    <row r="485">
      <c r="A485" s="4" t="s">
        <v>9641</v>
      </c>
      <c r="B485" s="4" t="s">
        <v>9642</v>
      </c>
    </row>
    <row r="486">
      <c r="A486" s="4" t="s">
        <v>9643</v>
      </c>
      <c r="B486" s="4" t="s">
        <v>9644</v>
      </c>
    </row>
    <row r="487">
      <c r="A487" s="4" t="s">
        <v>9645</v>
      </c>
      <c r="B487" s="4" t="s">
        <v>9646</v>
      </c>
    </row>
    <row r="488">
      <c r="A488" s="4" t="s">
        <v>9647</v>
      </c>
      <c r="B488" s="4" t="s">
        <v>9648</v>
      </c>
    </row>
    <row r="489">
      <c r="A489" s="4" t="s">
        <v>9649</v>
      </c>
      <c r="B489" s="4" t="s">
        <v>9650</v>
      </c>
    </row>
    <row r="490">
      <c r="A490" s="4" t="s">
        <v>9651</v>
      </c>
      <c r="B490" s="4" t="s">
        <v>9652</v>
      </c>
    </row>
    <row r="491">
      <c r="A491" s="4" t="s">
        <v>9653</v>
      </c>
      <c r="B491" s="4" t="s">
        <v>9654</v>
      </c>
    </row>
    <row r="492">
      <c r="A492" s="4" t="s">
        <v>9655</v>
      </c>
      <c r="B492" s="4" t="s">
        <v>9656</v>
      </c>
    </row>
    <row r="493">
      <c r="A493" s="4" t="s">
        <v>9657</v>
      </c>
      <c r="B493" s="4" t="s">
        <v>9658</v>
      </c>
    </row>
    <row r="494">
      <c r="A494" s="4" t="s">
        <v>9659</v>
      </c>
      <c r="B494" s="4" t="s">
        <v>9660</v>
      </c>
    </row>
    <row r="495">
      <c r="A495" s="4" t="s">
        <v>9661</v>
      </c>
      <c r="B495" s="4" t="s">
        <v>9662</v>
      </c>
    </row>
    <row r="496">
      <c r="A496" s="4" t="s">
        <v>9663</v>
      </c>
      <c r="B496" s="4" t="s">
        <v>9664</v>
      </c>
    </row>
    <row r="497">
      <c r="A497" s="4" t="s">
        <v>9665</v>
      </c>
      <c r="B497" s="4" t="s">
        <v>9666</v>
      </c>
    </row>
    <row r="498">
      <c r="A498" s="4" t="s">
        <v>9667</v>
      </c>
      <c r="B498" s="4" t="s">
        <v>9668</v>
      </c>
    </row>
    <row r="499">
      <c r="A499" s="4" t="s">
        <v>9669</v>
      </c>
      <c r="B499" s="4" t="s">
        <v>9670</v>
      </c>
    </row>
    <row r="500">
      <c r="A500" s="4" t="s">
        <v>9671</v>
      </c>
      <c r="B500" s="4" t="s">
        <v>9672</v>
      </c>
    </row>
    <row r="501">
      <c r="A501" s="4" t="s">
        <v>9673</v>
      </c>
      <c r="B501" s="4" t="s">
        <v>9674</v>
      </c>
    </row>
    <row r="502">
      <c r="A502" s="4" t="s">
        <v>9675</v>
      </c>
      <c r="B502" s="4" t="s">
        <v>9676</v>
      </c>
    </row>
    <row r="503">
      <c r="A503" s="4" t="s">
        <v>9677</v>
      </c>
      <c r="B503" s="4" t="s">
        <v>9678</v>
      </c>
    </row>
    <row r="504">
      <c r="A504" s="4" t="s">
        <v>9679</v>
      </c>
      <c r="B504" s="4" t="s">
        <v>9680</v>
      </c>
    </row>
    <row r="505">
      <c r="A505" s="4" t="s">
        <v>9681</v>
      </c>
      <c r="B505" s="4" t="s">
        <v>9682</v>
      </c>
    </row>
    <row r="506">
      <c r="A506" s="4" t="s">
        <v>9683</v>
      </c>
      <c r="B506" s="4" t="s">
        <v>9684</v>
      </c>
    </row>
    <row r="507">
      <c r="A507" s="4" t="s">
        <v>9685</v>
      </c>
      <c r="B507" s="4" t="s">
        <v>9686</v>
      </c>
    </row>
    <row r="508">
      <c r="A508" s="4" t="s">
        <v>9687</v>
      </c>
      <c r="B508" s="4" t="s">
        <v>9688</v>
      </c>
    </row>
    <row r="509">
      <c r="A509" s="4" t="s">
        <v>9689</v>
      </c>
      <c r="B509" s="4" t="s">
        <v>9690</v>
      </c>
    </row>
    <row r="510">
      <c r="A510" s="4" t="s">
        <v>9691</v>
      </c>
      <c r="B510" s="4" t="s">
        <v>9692</v>
      </c>
    </row>
    <row r="511">
      <c r="A511" s="4" t="s">
        <v>9693</v>
      </c>
      <c r="B511" s="4" t="s">
        <v>9694</v>
      </c>
    </row>
    <row r="512">
      <c r="A512" s="4" t="s">
        <v>9695</v>
      </c>
      <c r="B512" s="4" t="s">
        <v>9696</v>
      </c>
    </row>
    <row r="513">
      <c r="A513" s="4" t="s">
        <v>9697</v>
      </c>
      <c r="B513" s="4" t="s">
        <v>9698</v>
      </c>
    </row>
    <row r="514">
      <c r="A514" s="4" t="s">
        <v>9699</v>
      </c>
      <c r="B514" s="4" t="s">
        <v>9700</v>
      </c>
    </row>
    <row r="515">
      <c r="A515" s="4" t="s">
        <v>9701</v>
      </c>
      <c r="B515" s="4" t="s">
        <v>9702</v>
      </c>
    </row>
    <row r="516">
      <c r="A516" s="4" t="s">
        <v>9703</v>
      </c>
      <c r="B516" s="4" t="s">
        <v>9704</v>
      </c>
    </row>
    <row r="517">
      <c r="A517" s="4" t="s">
        <v>9705</v>
      </c>
      <c r="B517" s="4" t="s">
        <v>9706</v>
      </c>
    </row>
    <row r="518">
      <c r="A518" s="4" t="s">
        <v>9707</v>
      </c>
      <c r="B518" s="4" t="s">
        <v>9708</v>
      </c>
    </row>
    <row r="519">
      <c r="A519" s="4" t="s">
        <v>9709</v>
      </c>
      <c r="B519" s="4" t="s">
        <v>9710</v>
      </c>
    </row>
    <row r="520">
      <c r="A520" s="4" t="s">
        <v>9711</v>
      </c>
      <c r="B520" s="4" t="s">
        <v>9712</v>
      </c>
    </row>
    <row r="521">
      <c r="A521" s="4" t="s">
        <v>9713</v>
      </c>
      <c r="B521" s="4" t="s">
        <v>9714</v>
      </c>
    </row>
    <row r="522">
      <c r="A522" s="4" t="s">
        <v>9715</v>
      </c>
      <c r="B522" s="4" t="s">
        <v>9716</v>
      </c>
    </row>
    <row r="523">
      <c r="A523" s="4" t="s">
        <v>9717</v>
      </c>
      <c r="B523" s="4" t="s">
        <v>9718</v>
      </c>
    </row>
    <row r="524">
      <c r="A524" s="4" t="s">
        <v>9719</v>
      </c>
      <c r="B524" s="4" t="s">
        <v>9720</v>
      </c>
    </row>
    <row r="525">
      <c r="A525" s="4" t="s">
        <v>9721</v>
      </c>
      <c r="B525" s="4" t="s">
        <v>9722</v>
      </c>
    </row>
    <row r="526">
      <c r="A526" s="4" t="s">
        <v>9723</v>
      </c>
      <c r="B526" s="4" t="s">
        <v>9724</v>
      </c>
    </row>
    <row r="527">
      <c r="A527" s="4" t="s">
        <v>9725</v>
      </c>
      <c r="B527" s="4" t="s">
        <v>9726</v>
      </c>
    </row>
    <row r="528">
      <c r="A528" s="4" t="s">
        <v>9727</v>
      </c>
      <c r="B528" s="4" t="s">
        <v>9728</v>
      </c>
    </row>
    <row r="529">
      <c r="A529" s="4" t="s">
        <v>9729</v>
      </c>
      <c r="B529" s="4" t="s">
        <v>9730</v>
      </c>
    </row>
    <row r="530">
      <c r="A530" s="4" t="s">
        <v>9731</v>
      </c>
      <c r="B530" s="4" t="s">
        <v>9732</v>
      </c>
    </row>
    <row r="531">
      <c r="A531" s="4" t="s">
        <v>9733</v>
      </c>
      <c r="B531" s="4" t="s">
        <v>9734</v>
      </c>
    </row>
    <row r="532">
      <c r="A532" s="4" t="s">
        <v>9735</v>
      </c>
      <c r="B532" s="4" t="s">
        <v>9736</v>
      </c>
    </row>
    <row r="533">
      <c r="A533" s="4" t="s">
        <v>9737</v>
      </c>
      <c r="B533" s="4" t="s">
        <v>9738</v>
      </c>
    </row>
    <row r="534">
      <c r="A534" s="4" t="s">
        <v>9739</v>
      </c>
      <c r="B534" s="4" t="s">
        <v>9740</v>
      </c>
    </row>
    <row r="535">
      <c r="A535" s="4" t="s">
        <v>9741</v>
      </c>
      <c r="B535" s="4" t="s">
        <v>9742</v>
      </c>
    </row>
    <row r="536">
      <c r="A536" s="4" t="s">
        <v>9743</v>
      </c>
      <c r="B536" s="4" t="s">
        <v>9744</v>
      </c>
    </row>
    <row r="537">
      <c r="A537" s="4" t="s">
        <v>9745</v>
      </c>
      <c r="B537" s="4" t="s">
        <v>9746</v>
      </c>
    </row>
    <row r="538">
      <c r="A538" s="4" t="s">
        <v>9747</v>
      </c>
      <c r="B538" s="4" t="s">
        <v>9748</v>
      </c>
    </row>
    <row r="539">
      <c r="A539" s="4" t="s">
        <v>9749</v>
      </c>
      <c r="B539" s="4" t="s">
        <v>9750</v>
      </c>
    </row>
    <row r="540">
      <c r="A540" s="4" t="s">
        <v>9751</v>
      </c>
      <c r="B540" s="4" t="s">
        <v>9752</v>
      </c>
    </row>
    <row r="541">
      <c r="A541" s="4" t="s">
        <v>9753</v>
      </c>
      <c r="B541" s="4" t="s">
        <v>9754</v>
      </c>
    </row>
    <row r="542">
      <c r="A542" s="4" t="s">
        <v>9755</v>
      </c>
      <c r="B542" s="4" t="s">
        <v>9756</v>
      </c>
    </row>
    <row r="543">
      <c r="A543" s="4" t="s">
        <v>9757</v>
      </c>
      <c r="B543" s="4" t="s">
        <v>9758</v>
      </c>
    </row>
    <row r="544">
      <c r="A544" s="4" t="s">
        <v>9759</v>
      </c>
      <c r="B544" s="4" t="s">
        <v>9760</v>
      </c>
    </row>
    <row r="545">
      <c r="A545" s="4" t="s">
        <v>9761</v>
      </c>
      <c r="B545" s="4" t="s">
        <v>9762</v>
      </c>
    </row>
    <row r="546">
      <c r="A546" s="4" t="s">
        <v>9763</v>
      </c>
      <c r="B546" s="4" t="s">
        <v>9764</v>
      </c>
    </row>
    <row r="547">
      <c r="A547" s="4" t="s">
        <v>9765</v>
      </c>
      <c r="B547" s="4" t="s">
        <v>9766</v>
      </c>
    </row>
    <row r="548">
      <c r="A548" s="4" t="s">
        <v>9767</v>
      </c>
      <c r="B548" s="4" t="s">
        <v>9768</v>
      </c>
    </row>
    <row r="549">
      <c r="A549" s="4" t="s">
        <v>9769</v>
      </c>
      <c r="B549" s="4" t="s">
        <v>9770</v>
      </c>
    </row>
    <row r="550">
      <c r="A550" s="4" t="s">
        <v>9771</v>
      </c>
      <c r="B550" s="4" t="s">
        <v>9772</v>
      </c>
    </row>
    <row r="551">
      <c r="A551" s="4" t="s">
        <v>9773</v>
      </c>
      <c r="B551" s="4" t="s">
        <v>9774</v>
      </c>
    </row>
    <row r="552">
      <c r="A552" s="4" t="s">
        <v>9775</v>
      </c>
      <c r="B552" s="4" t="s">
        <v>9776</v>
      </c>
    </row>
    <row r="553">
      <c r="A553" s="4" t="s">
        <v>9777</v>
      </c>
      <c r="B553" s="4" t="s">
        <v>9778</v>
      </c>
    </row>
    <row r="554">
      <c r="A554" s="4" t="s">
        <v>9779</v>
      </c>
      <c r="B554" s="4" t="s">
        <v>9780</v>
      </c>
    </row>
    <row r="555">
      <c r="A555" s="4" t="s">
        <v>9781</v>
      </c>
      <c r="B555" s="4" t="s">
        <v>9782</v>
      </c>
    </row>
    <row r="556">
      <c r="A556" s="4" t="s">
        <v>9783</v>
      </c>
      <c r="B556" s="4" t="s">
        <v>9784</v>
      </c>
    </row>
    <row r="557">
      <c r="A557" s="4" t="s">
        <v>9785</v>
      </c>
      <c r="B557" s="4" t="s">
        <v>9786</v>
      </c>
    </row>
    <row r="558">
      <c r="A558" s="4" t="s">
        <v>9787</v>
      </c>
      <c r="B558" s="4" t="s">
        <v>9788</v>
      </c>
    </row>
    <row r="559">
      <c r="A559" s="4" t="s">
        <v>9789</v>
      </c>
      <c r="B559" s="4" t="s">
        <v>9790</v>
      </c>
    </row>
    <row r="560">
      <c r="A560" s="4" t="s">
        <v>9791</v>
      </c>
      <c r="B560" s="4" t="s">
        <v>9792</v>
      </c>
    </row>
    <row r="561">
      <c r="A561" s="4" t="s">
        <v>9793</v>
      </c>
      <c r="B561" s="4" t="s">
        <v>9794</v>
      </c>
    </row>
    <row r="562">
      <c r="A562" s="4" t="s">
        <v>9795</v>
      </c>
      <c r="B562" s="4" t="s">
        <v>9796</v>
      </c>
    </row>
    <row r="563">
      <c r="A563" s="4" t="s">
        <v>9797</v>
      </c>
      <c r="B563" s="4" t="s">
        <v>9798</v>
      </c>
    </row>
    <row r="564">
      <c r="A564" s="4" t="s">
        <v>9799</v>
      </c>
      <c r="B564" s="4" t="s">
        <v>9800</v>
      </c>
    </row>
    <row r="565">
      <c r="A565" s="4" t="s">
        <v>9801</v>
      </c>
      <c r="B565" s="4" t="s">
        <v>9802</v>
      </c>
    </row>
    <row r="566">
      <c r="A566" s="4" t="s">
        <v>9803</v>
      </c>
      <c r="B566" s="4" t="s">
        <v>9804</v>
      </c>
    </row>
    <row r="567">
      <c r="A567" s="4" t="s">
        <v>9805</v>
      </c>
      <c r="B567" s="4" t="s">
        <v>9806</v>
      </c>
    </row>
    <row r="568">
      <c r="A568" s="4" t="s">
        <v>9807</v>
      </c>
      <c r="B568" s="4" t="s">
        <v>9808</v>
      </c>
    </row>
    <row r="569">
      <c r="A569" s="4" t="s">
        <v>9809</v>
      </c>
      <c r="B569" s="4" t="s">
        <v>9810</v>
      </c>
    </row>
    <row r="570">
      <c r="A570" s="4" t="s">
        <v>9811</v>
      </c>
      <c r="B570" s="4" t="s">
        <v>9812</v>
      </c>
    </row>
    <row r="571">
      <c r="A571" s="4" t="s">
        <v>9813</v>
      </c>
      <c r="B571" s="4" t="s">
        <v>9814</v>
      </c>
    </row>
    <row r="572">
      <c r="A572" s="4" t="s">
        <v>9815</v>
      </c>
      <c r="B572" s="4" t="s">
        <v>9816</v>
      </c>
    </row>
    <row r="573">
      <c r="A573" s="4" t="s">
        <v>9817</v>
      </c>
      <c r="B573" s="4" t="s">
        <v>9818</v>
      </c>
    </row>
    <row r="574">
      <c r="A574" s="4" t="s">
        <v>9819</v>
      </c>
      <c r="B574" s="4" t="s">
        <v>9820</v>
      </c>
    </row>
    <row r="575">
      <c r="A575" s="4" t="s">
        <v>9821</v>
      </c>
      <c r="B575" s="4" t="s">
        <v>9822</v>
      </c>
    </row>
    <row r="576">
      <c r="A576" s="4" t="s">
        <v>9823</v>
      </c>
      <c r="B576" s="4" t="s">
        <v>9824</v>
      </c>
    </row>
    <row r="577">
      <c r="A577" s="4" t="s">
        <v>9825</v>
      </c>
      <c r="B577" s="4" t="s">
        <v>9826</v>
      </c>
    </row>
    <row r="578">
      <c r="A578" s="4" t="s">
        <v>9827</v>
      </c>
      <c r="B578" s="4" t="s">
        <v>9828</v>
      </c>
    </row>
    <row r="579">
      <c r="A579" s="4" t="s">
        <v>9829</v>
      </c>
      <c r="B579" s="4" t="s">
        <v>9830</v>
      </c>
    </row>
    <row r="580">
      <c r="A580" s="4" t="s">
        <v>9831</v>
      </c>
      <c r="B580" s="4" t="s">
        <v>9832</v>
      </c>
    </row>
    <row r="581">
      <c r="A581" s="4" t="s">
        <v>9833</v>
      </c>
      <c r="B581" s="4" t="s">
        <v>9834</v>
      </c>
    </row>
    <row r="582">
      <c r="A582" s="4" t="s">
        <v>9835</v>
      </c>
      <c r="B582" s="4" t="s">
        <v>9836</v>
      </c>
    </row>
    <row r="583">
      <c r="A583" s="4" t="s">
        <v>9837</v>
      </c>
      <c r="B583" s="4" t="s">
        <v>9838</v>
      </c>
    </row>
    <row r="584">
      <c r="A584" s="4" t="s">
        <v>9839</v>
      </c>
      <c r="B584" s="4" t="s">
        <v>9840</v>
      </c>
    </row>
    <row r="585">
      <c r="A585" s="4" t="s">
        <v>9841</v>
      </c>
      <c r="B585" s="4" t="s">
        <v>9842</v>
      </c>
    </row>
    <row r="586">
      <c r="A586" s="4" t="s">
        <v>9843</v>
      </c>
      <c r="B586" s="4" t="s">
        <v>9844</v>
      </c>
    </row>
    <row r="587">
      <c r="A587" s="4" t="s">
        <v>9845</v>
      </c>
      <c r="B587" s="4" t="s">
        <v>9846</v>
      </c>
    </row>
    <row r="588">
      <c r="A588" s="4" t="s">
        <v>9847</v>
      </c>
      <c r="B588" s="4" t="s">
        <v>9848</v>
      </c>
    </row>
    <row r="589">
      <c r="A589" s="4" t="s">
        <v>9849</v>
      </c>
      <c r="B589" s="4" t="s">
        <v>9850</v>
      </c>
    </row>
    <row r="590">
      <c r="A590" s="4" t="s">
        <v>9851</v>
      </c>
      <c r="B590" s="4" t="s">
        <v>9852</v>
      </c>
    </row>
    <row r="591">
      <c r="A591" s="4" t="s">
        <v>9853</v>
      </c>
      <c r="B591" s="4" t="s">
        <v>9854</v>
      </c>
    </row>
    <row r="592">
      <c r="A592" s="4" t="s">
        <v>9855</v>
      </c>
      <c r="B592" s="4" t="s">
        <v>9856</v>
      </c>
    </row>
    <row r="593">
      <c r="A593" s="4" t="s">
        <v>9857</v>
      </c>
      <c r="B593" s="4" t="s">
        <v>9858</v>
      </c>
    </row>
    <row r="594">
      <c r="A594" s="4" t="s">
        <v>9859</v>
      </c>
      <c r="B594" s="4" t="s">
        <v>9860</v>
      </c>
    </row>
    <row r="595">
      <c r="A595" s="4" t="s">
        <v>9861</v>
      </c>
      <c r="B595" s="4" t="s">
        <v>9862</v>
      </c>
    </row>
    <row r="596">
      <c r="A596" s="4" t="s">
        <v>9863</v>
      </c>
      <c r="B596" s="4" t="s">
        <v>9864</v>
      </c>
    </row>
    <row r="597">
      <c r="A597" s="4" t="s">
        <v>9865</v>
      </c>
      <c r="B597" s="4" t="s">
        <v>9866</v>
      </c>
    </row>
    <row r="598">
      <c r="A598" s="4" t="s">
        <v>9867</v>
      </c>
      <c r="B598" s="4" t="s">
        <v>9868</v>
      </c>
    </row>
    <row r="599">
      <c r="A599" s="4" t="s">
        <v>9869</v>
      </c>
      <c r="B599" s="4" t="s">
        <v>9870</v>
      </c>
    </row>
    <row r="600">
      <c r="A600" s="4" t="s">
        <v>9871</v>
      </c>
      <c r="B600" s="4" t="s">
        <v>9872</v>
      </c>
    </row>
    <row r="601">
      <c r="A601" s="4" t="s">
        <v>9873</v>
      </c>
      <c r="B601" s="4" t="s">
        <v>9874</v>
      </c>
    </row>
    <row r="602">
      <c r="A602" s="4" t="s">
        <v>9875</v>
      </c>
      <c r="B602" s="4" t="s">
        <v>9876</v>
      </c>
    </row>
    <row r="603">
      <c r="A603" s="4" t="s">
        <v>9877</v>
      </c>
      <c r="B603" s="4" t="s">
        <v>9878</v>
      </c>
    </row>
    <row r="604">
      <c r="A604" s="4" t="s">
        <v>9879</v>
      </c>
      <c r="B604" s="4" t="s">
        <v>9880</v>
      </c>
    </row>
    <row r="605">
      <c r="A605" s="4" t="s">
        <v>9881</v>
      </c>
      <c r="B605" s="4" t="s">
        <v>9882</v>
      </c>
    </row>
    <row r="606">
      <c r="A606" s="4" t="s">
        <v>9883</v>
      </c>
      <c r="B606" s="4" t="s">
        <v>9884</v>
      </c>
    </row>
    <row r="607">
      <c r="A607" s="4" t="s">
        <v>9885</v>
      </c>
      <c r="B607" s="4" t="s">
        <v>9886</v>
      </c>
    </row>
    <row r="608">
      <c r="A608" s="4" t="s">
        <v>9887</v>
      </c>
      <c r="B608" s="4" t="s">
        <v>9888</v>
      </c>
    </row>
    <row r="609">
      <c r="A609" s="4" t="s">
        <v>9889</v>
      </c>
      <c r="B609" s="4" t="s">
        <v>9890</v>
      </c>
    </row>
    <row r="610">
      <c r="A610" s="4" t="s">
        <v>9891</v>
      </c>
      <c r="B610" s="4" t="s">
        <v>9892</v>
      </c>
    </row>
    <row r="611">
      <c r="A611" s="4" t="s">
        <v>9893</v>
      </c>
      <c r="B611" s="4" t="s">
        <v>9894</v>
      </c>
    </row>
    <row r="612">
      <c r="A612" s="4" t="s">
        <v>9895</v>
      </c>
      <c r="B612" s="4" t="s">
        <v>9896</v>
      </c>
    </row>
    <row r="613">
      <c r="A613" s="4" t="s">
        <v>9897</v>
      </c>
      <c r="B613" s="4" t="s">
        <v>9898</v>
      </c>
    </row>
    <row r="614">
      <c r="A614" s="4" t="s">
        <v>9899</v>
      </c>
      <c r="B614" s="4" t="s">
        <v>9900</v>
      </c>
    </row>
    <row r="615">
      <c r="A615" s="4" t="s">
        <v>9901</v>
      </c>
      <c r="B615" s="4" t="s">
        <v>9902</v>
      </c>
    </row>
    <row r="616">
      <c r="A616" s="4" t="s">
        <v>9903</v>
      </c>
      <c r="B616" s="4" t="s">
        <v>9904</v>
      </c>
    </row>
    <row r="617">
      <c r="A617" s="4" t="s">
        <v>9905</v>
      </c>
      <c r="B617" s="4" t="s">
        <v>9906</v>
      </c>
    </row>
    <row r="618">
      <c r="A618" s="4" t="s">
        <v>9907</v>
      </c>
      <c r="B618" s="4" t="s">
        <v>9908</v>
      </c>
    </row>
    <row r="619">
      <c r="A619" s="4" t="s">
        <v>9909</v>
      </c>
      <c r="B619" s="4" t="s">
        <v>9910</v>
      </c>
    </row>
    <row r="620">
      <c r="A620" s="4" t="s">
        <v>9911</v>
      </c>
      <c r="B620" s="4" t="s">
        <v>9912</v>
      </c>
    </row>
    <row r="621">
      <c r="A621" s="4" t="s">
        <v>9913</v>
      </c>
      <c r="B621" s="4" t="s">
        <v>9914</v>
      </c>
    </row>
    <row r="622">
      <c r="A622" s="4" t="s">
        <v>9915</v>
      </c>
      <c r="B622" s="4" t="s">
        <v>9916</v>
      </c>
    </row>
    <row r="623">
      <c r="A623" s="4" t="s">
        <v>9917</v>
      </c>
      <c r="B623" s="4" t="s">
        <v>9918</v>
      </c>
    </row>
    <row r="624">
      <c r="A624" s="4" t="s">
        <v>9919</v>
      </c>
      <c r="B624" s="4" t="s">
        <v>9920</v>
      </c>
    </row>
    <row r="625">
      <c r="A625" s="4" t="s">
        <v>9921</v>
      </c>
      <c r="B625" s="4" t="s">
        <v>9922</v>
      </c>
    </row>
    <row r="626">
      <c r="A626" s="4" t="s">
        <v>9923</v>
      </c>
      <c r="B626" s="4" t="s">
        <v>9924</v>
      </c>
    </row>
    <row r="627">
      <c r="A627" s="4" t="s">
        <v>9925</v>
      </c>
      <c r="B627" s="4" t="s">
        <v>9926</v>
      </c>
    </row>
    <row r="628">
      <c r="A628" s="4" t="s">
        <v>9927</v>
      </c>
      <c r="B628" s="4" t="s">
        <v>9928</v>
      </c>
    </row>
    <row r="629">
      <c r="A629" s="4" t="s">
        <v>9929</v>
      </c>
      <c r="B629" s="4" t="s">
        <v>9930</v>
      </c>
    </row>
    <row r="630">
      <c r="A630" s="4" t="s">
        <v>9931</v>
      </c>
      <c r="B630" s="4" t="s">
        <v>9932</v>
      </c>
    </row>
    <row r="631">
      <c r="A631" s="4" t="s">
        <v>9933</v>
      </c>
      <c r="B631" s="4" t="s">
        <v>9934</v>
      </c>
    </row>
    <row r="632">
      <c r="A632" s="4" t="s">
        <v>9935</v>
      </c>
      <c r="B632" s="4" t="s">
        <v>9936</v>
      </c>
    </row>
    <row r="633">
      <c r="A633" s="4" t="s">
        <v>9937</v>
      </c>
      <c r="B633" s="4" t="s">
        <v>9938</v>
      </c>
    </row>
    <row r="634">
      <c r="A634" s="4" t="s">
        <v>9939</v>
      </c>
      <c r="B634" s="4" t="s">
        <v>9940</v>
      </c>
    </row>
    <row r="635">
      <c r="A635" s="4" t="s">
        <v>9941</v>
      </c>
      <c r="B635" s="4" t="s">
        <v>9942</v>
      </c>
    </row>
    <row r="636">
      <c r="A636" s="4" t="s">
        <v>9943</v>
      </c>
      <c r="B636" s="4" t="s">
        <v>9944</v>
      </c>
    </row>
    <row r="637">
      <c r="A637" s="4" t="s">
        <v>9945</v>
      </c>
      <c r="B637" s="4" t="s">
        <v>9946</v>
      </c>
    </row>
    <row r="638">
      <c r="A638" s="4" t="s">
        <v>9947</v>
      </c>
      <c r="B638" s="4" t="s">
        <v>9948</v>
      </c>
    </row>
    <row r="639">
      <c r="A639" s="4" t="s">
        <v>9949</v>
      </c>
      <c r="B639" s="4" t="s">
        <v>9950</v>
      </c>
    </row>
    <row r="640">
      <c r="A640" s="4" t="s">
        <v>9951</v>
      </c>
      <c r="B640" s="4" t="s">
        <v>9952</v>
      </c>
    </row>
    <row r="641">
      <c r="A641" s="4" t="s">
        <v>9953</v>
      </c>
      <c r="B641" s="4" t="s">
        <v>9954</v>
      </c>
    </row>
    <row r="642">
      <c r="A642" s="4" t="s">
        <v>9955</v>
      </c>
      <c r="B642" s="4" t="s">
        <v>9956</v>
      </c>
    </row>
    <row r="643">
      <c r="A643" s="4" t="s">
        <v>9957</v>
      </c>
      <c r="B643" s="4" t="s">
        <v>9958</v>
      </c>
    </row>
    <row r="644">
      <c r="A644" s="4" t="s">
        <v>9959</v>
      </c>
      <c r="B644" s="4" t="s">
        <v>9960</v>
      </c>
    </row>
    <row r="645">
      <c r="A645" s="4" t="s">
        <v>9961</v>
      </c>
      <c r="B645" s="4" t="s">
        <v>9962</v>
      </c>
    </row>
    <row r="646">
      <c r="A646" s="4" t="s">
        <v>9963</v>
      </c>
      <c r="B646" s="4" t="s">
        <v>9964</v>
      </c>
    </row>
    <row r="647">
      <c r="A647" s="4" t="s">
        <v>9965</v>
      </c>
      <c r="B647" s="4" t="s">
        <v>9966</v>
      </c>
    </row>
    <row r="648">
      <c r="A648" s="4" t="s">
        <v>9967</v>
      </c>
      <c r="B648" s="4" t="s">
        <v>9968</v>
      </c>
    </row>
    <row r="649">
      <c r="A649" s="4" t="s">
        <v>9969</v>
      </c>
      <c r="B649" s="4" t="s">
        <v>9970</v>
      </c>
    </row>
    <row r="650">
      <c r="A650" s="4" t="s">
        <v>9971</v>
      </c>
      <c r="B650" s="4" t="s">
        <v>9972</v>
      </c>
    </row>
    <row r="651">
      <c r="A651" s="4" t="s">
        <v>9973</v>
      </c>
      <c r="B651" s="4" t="s">
        <v>9974</v>
      </c>
    </row>
    <row r="652">
      <c r="A652" s="4" t="s">
        <v>9975</v>
      </c>
      <c r="B652" s="4" t="s">
        <v>9976</v>
      </c>
    </row>
    <row r="653">
      <c r="A653" s="4" t="s">
        <v>9977</v>
      </c>
      <c r="B653" s="4" t="s">
        <v>9978</v>
      </c>
    </row>
    <row r="654">
      <c r="A654" s="4" t="s">
        <v>9979</v>
      </c>
      <c r="B654" s="4" t="s">
        <v>9980</v>
      </c>
    </row>
    <row r="655">
      <c r="A655" s="4" t="s">
        <v>9981</v>
      </c>
      <c r="B655" s="4" t="s">
        <v>9982</v>
      </c>
    </row>
    <row r="656">
      <c r="A656" s="4" t="s">
        <v>9983</v>
      </c>
      <c r="B656" s="4" t="s">
        <v>9984</v>
      </c>
    </row>
    <row r="657">
      <c r="A657" s="4" t="s">
        <v>9985</v>
      </c>
      <c r="B657" s="4" t="s">
        <v>9986</v>
      </c>
    </row>
    <row r="658">
      <c r="A658" s="4" t="s">
        <v>9987</v>
      </c>
      <c r="B658" s="4" t="s">
        <v>9988</v>
      </c>
    </row>
    <row r="659">
      <c r="A659" s="4" t="s">
        <v>9989</v>
      </c>
      <c r="B659" s="4" t="s">
        <v>9990</v>
      </c>
    </row>
    <row r="660">
      <c r="A660" s="4" t="s">
        <v>9991</v>
      </c>
      <c r="B660" s="4" t="s">
        <v>9992</v>
      </c>
    </row>
    <row r="661">
      <c r="A661" s="4" t="s">
        <v>9993</v>
      </c>
      <c r="B661" s="4" t="s">
        <v>9994</v>
      </c>
    </row>
    <row r="662">
      <c r="A662" s="4" t="s">
        <v>9995</v>
      </c>
      <c r="B662" s="4" t="s">
        <v>9996</v>
      </c>
    </row>
    <row r="663">
      <c r="A663" s="4" t="s">
        <v>9997</v>
      </c>
      <c r="B663" s="4" t="s">
        <v>9998</v>
      </c>
    </row>
    <row r="664">
      <c r="A664" s="4" t="s">
        <v>9999</v>
      </c>
      <c r="B664" s="4" t="s">
        <v>10000</v>
      </c>
    </row>
    <row r="665">
      <c r="A665" s="4" t="s">
        <v>10001</v>
      </c>
      <c r="B665" s="4" t="s">
        <v>10002</v>
      </c>
    </row>
    <row r="666">
      <c r="A666" s="4" t="s">
        <v>10003</v>
      </c>
      <c r="B666" s="4" t="s">
        <v>10004</v>
      </c>
    </row>
    <row r="667">
      <c r="A667" s="4" t="s">
        <v>10005</v>
      </c>
      <c r="B667" s="4" t="s">
        <v>10006</v>
      </c>
    </row>
    <row r="668">
      <c r="A668" s="4" t="s">
        <v>10007</v>
      </c>
      <c r="B668" s="4" t="s">
        <v>10008</v>
      </c>
    </row>
    <row r="669">
      <c r="A669" s="4" t="s">
        <v>10009</v>
      </c>
      <c r="B669" s="4" t="s">
        <v>10010</v>
      </c>
    </row>
    <row r="670">
      <c r="A670" s="4" t="s">
        <v>10011</v>
      </c>
      <c r="B670" s="4" t="s">
        <v>10012</v>
      </c>
    </row>
    <row r="671">
      <c r="A671" s="4" t="s">
        <v>10013</v>
      </c>
      <c r="B671" s="4" t="s">
        <v>10014</v>
      </c>
    </row>
    <row r="672">
      <c r="A672" s="4" t="s">
        <v>10015</v>
      </c>
      <c r="B672" s="4" t="s">
        <v>10016</v>
      </c>
    </row>
    <row r="673">
      <c r="A673" s="4" t="s">
        <v>10017</v>
      </c>
      <c r="B673" s="4" t="s">
        <v>10018</v>
      </c>
    </row>
    <row r="674">
      <c r="A674" s="4" t="s">
        <v>10019</v>
      </c>
      <c r="B674" s="4" t="s">
        <v>10020</v>
      </c>
    </row>
    <row r="675">
      <c r="A675" s="4" t="s">
        <v>10021</v>
      </c>
      <c r="B675" s="4" t="s">
        <v>10022</v>
      </c>
    </row>
    <row r="676">
      <c r="A676" s="4" t="s">
        <v>10023</v>
      </c>
      <c r="B676" s="4" t="s">
        <v>10024</v>
      </c>
    </row>
    <row r="677">
      <c r="A677" s="4" t="s">
        <v>10025</v>
      </c>
      <c r="B677" s="4" t="s">
        <v>10026</v>
      </c>
    </row>
    <row r="678">
      <c r="A678" s="4" t="s">
        <v>10027</v>
      </c>
      <c r="B678" s="4" t="s">
        <v>10028</v>
      </c>
    </row>
    <row r="679">
      <c r="A679" s="4" t="s">
        <v>10029</v>
      </c>
      <c r="B679" s="4" t="s">
        <v>10030</v>
      </c>
    </row>
    <row r="680">
      <c r="A680" s="4" t="s">
        <v>10031</v>
      </c>
      <c r="B680" s="4" t="s">
        <v>10032</v>
      </c>
    </row>
    <row r="681">
      <c r="A681" s="4" t="s">
        <v>10033</v>
      </c>
      <c r="B681" s="4" t="s">
        <v>10034</v>
      </c>
    </row>
    <row r="682">
      <c r="A682" s="4" t="s">
        <v>10035</v>
      </c>
      <c r="B682" s="4" t="s">
        <v>10036</v>
      </c>
    </row>
    <row r="683">
      <c r="A683" s="4" t="s">
        <v>10037</v>
      </c>
      <c r="B683" s="4" t="s">
        <v>10038</v>
      </c>
    </row>
    <row r="684">
      <c r="A684" s="4" t="s">
        <v>10039</v>
      </c>
      <c r="B684" s="4" t="s">
        <v>10040</v>
      </c>
    </row>
    <row r="685">
      <c r="A685" s="4" t="s">
        <v>10041</v>
      </c>
      <c r="B685" s="4" t="s">
        <v>10042</v>
      </c>
    </row>
    <row r="686">
      <c r="A686" s="4" t="s">
        <v>10043</v>
      </c>
      <c r="B686" s="4" t="s">
        <v>10044</v>
      </c>
    </row>
    <row r="687">
      <c r="A687" s="4" t="s">
        <v>10045</v>
      </c>
      <c r="B687" s="4" t="s">
        <v>10046</v>
      </c>
    </row>
    <row r="688">
      <c r="A688" s="4" t="s">
        <v>10047</v>
      </c>
      <c r="B688" s="4" t="s">
        <v>10048</v>
      </c>
    </row>
    <row r="689">
      <c r="A689" s="4" t="s">
        <v>10049</v>
      </c>
      <c r="B689" s="4" t="s">
        <v>10050</v>
      </c>
    </row>
    <row r="690">
      <c r="A690" s="4" t="s">
        <v>10051</v>
      </c>
      <c r="B690" s="4" t="s">
        <v>10052</v>
      </c>
    </row>
    <row r="691">
      <c r="A691" s="4" t="s">
        <v>10053</v>
      </c>
      <c r="B691" s="4" t="s">
        <v>10054</v>
      </c>
    </row>
    <row r="692">
      <c r="A692" s="4" t="s">
        <v>10055</v>
      </c>
      <c r="B692" s="4" t="s">
        <v>10056</v>
      </c>
    </row>
    <row r="693">
      <c r="A693" s="4" t="s">
        <v>10057</v>
      </c>
      <c r="B693" s="4" t="s">
        <v>10058</v>
      </c>
    </row>
    <row r="694">
      <c r="A694" s="4" t="s">
        <v>10059</v>
      </c>
      <c r="B694" s="4" t="s">
        <v>10060</v>
      </c>
    </row>
    <row r="695">
      <c r="A695" s="4" t="s">
        <v>10061</v>
      </c>
      <c r="B695" s="4" t="s">
        <v>10062</v>
      </c>
    </row>
    <row r="696">
      <c r="A696" s="4" t="s">
        <v>10063</v>
      </c>
      <c r="B696" s="4" t="s">
        <v>10064</v>
      </c>
    </row>
    <row r="697">
      <c r="A697" s="4" t="s">
        <v>10065</v>
      </c>
      <c r="B697" s="4" t="s">
        <v>10066</v>
      </c>
    </row>
    <row r="698">
      <c r="A698" s="4" t="s">
        <v>10067</v>
      </c>
      <c r="B698" s="4" t="s">
        <v>10068</v>
      </c>
    </row>
    <row r="699">
      <c r="A699" s="4" t="s">
        <v>10069</v>
      </c>
      <c r="B699" s="4" t="s">
        <v>10070</v>
      </c>
    </row>
    <row r="700">
      <c r="A700" s="4" t="s">
        <v>10071</v>
      </c>
      <c r="B700" s="4" t="s">
        <v>10072</v>
      </c>
    </row>
    <row r="701">
      <c r="A701" s="4" t="s">
        <v>10073</v>
      </c>
      <c r="B701" s="4" t="s">
        <v>10074</v>
      </c>
    </row>
    <row r="702">
      <c r="A702" s="4" t="s">
        <v>10075</v>
      </c>
      <c r="B702" s="4" t="s">
        <v>10076</v>
      </c>
    </row>
    <row r="703">
      <c r="A703" s="4" t="s">
        <v>10077</v>
      </c>
      <c r="B703" s="4" t="s">
        <v>10078</v>
      </c>
    </row>
    <row r="704">
      <c r="A704" s="4" t="s">
        <v>10079</v>
      </c>
      <c r="B704" s="4" t="s">
        <v>10080</v>
      </c>
    </row>
    <row r="705">
      <c r="A705" s="4" t="s">
        <v>10081</v>
      </c>
      <c r="B705" s="4" t="s">
        <v>10082</v>
      </c>
    </row>
    <row r="706">
      <c r="A706" s="4" t="s">
        <v>10083</v>
      </c>
      <c r="B706" s="4" t="s">
        <v>10084</v>
      </c>
    </row>
    <row r="707">
      <c r="A707" s="4" t="s">
        <v>10085</v>
      </c>
      <c r="B707" s="4" t="s">
        <v>10086</v>
      </c>
    </row>
    <row r="708">
      <c r="A708" s="4" t="s">
        <v>10087</v>
      </c>
      <c r="B708" s="4" t="s">
        <v>10088</v>
      </c>
    </row>
    <row r="709">
      <c r="A709" s="4" t="s">
        <v>10089</v>
      </c>
      <c r="B709" s="4" t="s">
        <v>10090</v>
      </c>
    </row>
    <row r="710">
      <c r="A710" s="4" t="s">
        <v>10091</v>
      </c>
      <c r="B710" s="4" t="s">
        <v>10092</v>
      </c>
    </row>
    <row r="711">
      <c r="A711" s="4" t="s">
        <v>10093</v>
      </c>
      <c r="B711" s="4" t="s">
        <v>10094</v>
      </c>
    </row>
    <row r="712">
      <c r="A712" s="4" t="s">
        <v>10095</v>
      </c>
      <c r="B712" s="4" t="s">
        <v>10096</v>
      </c>
    </row>
    <row r="713">
      <c r="A713" s="4" t="s">
        <v>10097</v>
      </c>
      <c r="B713" s="4" t="s">
        <v>10098</v>
      </c>
    </row>
    <row r="714">
      <c r="A714" s="4" t="s">
        <v>10099</v>
      </c>
      <c r="B714" s="4" t="s">
        <v>10100</v>
      </c>
    </row>
    <row r="715">
      <c r="A715" s="4" t="s">
        <v>10101</v>
      </c>
      <c r="B715" s="4" t="s">
        <v>10102</v>
      </c>
    </row>
    <row r="716">
      <c r="A716" s="4" t="s">
        <v>10103</v>
      </c>
      <c r="B716" s="4" t="s">
        <v>10104</v>
      </c>
    </row>
    <row r="717">
      <c r="A717" s="4" t="s">
        <v>10105</v>
      </c>
      <c r="B717" s="4" t="s">
        <v>10106</v>
      </c>
    </row>
    <row r="718">
      <c r="A718" s="4" t="s">
        <v>10107</v>
      </c>
      <c r="B718" s="4" t="s">
        <v>10108</v>
      </c>
    </row>
    <row r="719">
      <c r="A719" s="4" t="s">
        <v>10109</v>
      </c>
      <c r="B719" s="4" t="s">
        <v>10110</v>
      </c>
    </row>
    <row r="720">
      <c r="A720" s="4" t="s">
        <v>10111</v>
      </c>
      <c r="B720" s="4" t="s">
        <v>10112</v>
      </c>
    </row>
    <row r="721">
      <c r="A721" s="4" t="s">
        <v>10113</v>
      </c>
      <c r="B721" s="4" t="s">
        <v>10114</v>
      </c>
    </row>
    <row r="722">
      <c r="A722" s="4" t="s">
        <v>10115</v>
      </c>
      <c r="B722" s="4" t="s">
        <v>10116</v>
      </c>
    </row>
    <row r="723">
      <c r="A723" s="4" t="s">
        <v>10117</v>
      </c>
      <c r="B723" s="4" t="s">
        <v>10118</v>
      </c>
    </row>
    <row r="724">
      <c r="A724" s="4" t="s">
        <v>10119</v>
      </c>
      <c r="B724" s="4" t="s">
        <v>10120</v>
      </c>
    </row>
    <row r="725">
      <c r="A725" s="4" t="s">
        <v>10121</v>
      </c>
      <c r="B725" s="4" t="s">
        <v>10122</v>
      </c>
    </row>
    <row r="726">
      <c r="A726" s="4" t="s">
        <v>10123</v>
      </c>
      <c r="B726" s="4" t="s">
        <v>10122</v>
      </c>
    </row>
    <row r="727">
      <c r="A727" s="4" t="s">
        <v>10124</v>
      </c>
      <c r="B727" s="4" t="s">
        <v>10125</v>
      </c>
    </row>
    <row r="728">
      <c r="A728" s="4" t="s">
        <v>10126</v>
      </c>
      <c r="B728" s="4" t="s">
        <v>10127</v>
      </c>
    </row>
    <row r="729">
      <c r="A729" s="4" t="s">
        <v>10128</v>
      </c>
      <c r="B729" s="4" t="s">
        <v>10129</v>
      </c>
    </row>
    <row r="730">
      <c r="A730" s="4" t="s">
        <v>10130</v>
      </c>
      <c r="B730" s="4" t="s">
        <v>10131</v>
      </c>
    </row>
    <row r="731">
      <c r="A731" s="4" t="s">
        <v>10132</v>
      </c>
      <c r="B731" s="4" t="s">
        <v>10133</v>
      </c>
    </row>
    <row r="732">
      <c r="A732" s="4" t="s">
        <v>10134</v>
      </c>
      <c r="B732" s="4" t="s">
        <v>10135</v>
      </c>
    </row>
    <row r="733">
      <c r="A733" s="4" t="s">
        <v>10136</v>
      </c>
      <c r="B733" s="4" t="s">
        <v>10137</v>
      </c>
    </row>
    <row r="734">
      <c r="A734" s="4" t="s">
        <v>10138</v>
      </c>
      <c r="B734" s="4" t="s">
        <v>10139</v>
      </c>
    </row>
    <row r="735">
      <c r="A735" s="4" t="s">
        <v>10140</v>
      </c>
      <c r="B735" s="4" t="s">
        <v>10141</v>
      </c>
    </row>
    <row r="736">
      <c r="A736" s="4" t="s">
        <v>10142</v>
      </c>
      <c r="B736" s="4" t="s">
        <v>10143</v>
      </c>
    </row>
    <row r="737">
      <c r="A737" s="4" t="s">
        <v>10144</v>
      </c>
      <c r="B737" s="4" t="s">
        <v>10145</v>
      </c>
    </row>
    <row r="738">
      <c r="A738" s="4" t="s">
        <v>10146</v>
      </c>
      <c r="B738" s="4" t="s">
        <v>10147</v>
      </c>
    </row>
    <row r="739">
      <c r="A739" s="4" t="s">
        <v>10148</v>
      </c>
      <c r="B739" s="4" t="s">
        <v>10149</v>
      </c>
    </row>
    <row r="740">
      <c r="A740" s="4" t="s">
        <v>10150</v>
      </c>
      <c r="B740" s="4" t="s">
        <v>10151</v>
      </c>
    </row>
    <row r="741">
      <c r="A741" s="4" t="s">
        <v>10152</v>
      </c>
      <c r="B741" s="4" t="s">
        <v>10153</v>
      </c>
    </row>
    <row r="742">
      <c r="A742" s="4" t="s">
        <v>10154</v>
      </c>
      <c r="B742" s="4" t="s">
        <v>10155</v>
      </c>
    </row>
    <row r="743">
      <c r="A743" s="4" t="s">
        <v>10156</v>
      </c>
      <c r="B743" s="4" t="s">
        <v>10157</v>
      </c>
    </row>
    <row r="744">
      <c r="A744" s="4" t="s">
        <v>10158</v>
      </c>
      <c r="B744" s="4" t="s">
        <v>10159</v>
      </c>
    </row>
    <row r="745">
      <c r="A745" s="4" t="s">
        <v>10160</v>
      </c>
      <c r="B745" s="4" t="s">
        <v>10161</v>
      </c>
    </row>
    <row r="746">
      <c r="A746" s="4" t="s">
        <v>10162</v>
      </c>
      <c r="B746" s="4" t="s">
        <v>10163</v>
      </c>
    </row>
    <row r="747">
      <c r="A747" s="4" t="s">
        <v>10164</v>
      </c>
      <c r="B747" s="4" t="s">
        <v>10165</v>
      </c>
    </row>
    <row r="748">
      <c r="A748" s="4" t="s">
        <v>10166</v>
      </c>
      <c r="B748" s="4" t="s">
        <v>10167</v>
      </c>
    </row>
    <row r="749">
      <c r="A749" s="4" t="s">
        <v>10168</v>
      </c>
      <c r="B749" s="4" t="s">
        <v>10167</v>
      </c>
    </row>
    <row r="750">
      <c r="A750" s="4" t="s">
        <v>10169</v>
      </c>
      <c r="B750" s="4" t="s">
        <v>10170</v>
      </c>
    </row>
    <row r="751">
      <c r="A751" s="4" t="s">
        <v>10171</v>
      </c>
      <c r="B751" s="4" t="s">
        <v>10172</v>
      </c>
    </row>
    <row r="752">
      <c r="A752" s="4" t="s">
        <v>10173</v>
      </c>
      <c r="B752" s="4" t="s">
        <v>10174</v>
      </c>
    </row>
    <row r="753">
      <c r="A753" s="4" t="s">
        <v>10175</v>
      </c>
      <c r="B753" s="4" t="s">
        <v>10176</v>
      </c>
    </row>
    <row r="754">
      <c r="A754" s="4" t="s">
        <v>10177</v>
      </c>
      <c r="B754" s="4" t="s">
        <v>10178</v>
      </c>
    </row>
    <row r="755">
      <c r="A755" s="4" t="s">
        <v>10179</v>
      </c>
      <c r="B755" s="4" t="s">
        <v>10180</v>
      </c>
    </row>
    <row r="756">
      <c r="A756" s="4" t="s">
        <v>10181</v>
      </c>
      <c r="B756" s="4" t="s">
        <v>10182</v>
      </c>
    </row>
    <row r="757">
      <c r="A757" s="4" t="s">
        <v>10183</v>
      </c>
      <c r="B757" s="4" t="s">
        <v>10184</v>
      </c>
    </row>
    <row r="758">
      <c r="A758" s="4" t="s">
        <v>10185</v>
      </c>
      <c r="B758" s="4" t="s">
        <v>10186</v>
      </c>
    </row>
    <row r="759">
      <c r="A759" s="4" t="s">
        <v>10187</v>
      </c>
      <c r="B759" s="4" t="s">
        <v>10188</v>
      </c>
    </row>
    <row r="760">
      <c r="A760" s="4" t="s">
        <v>10189</v>
      </c>
      <c r="B760" s="4" t="s">
        <v>10190</v>
      </c>
    </row>
    <row r="761">
      <c r="A761" s="4" t="s">
        <v>10191</v>
      </c>
      <c r="B761" s="4" t="s">
        <v>10192</v>
      </c>
    </row>
    <row r="762">
      <c r="A762" s="4" t="s">
        <v>10193</v>
      </c>
      <c r="B762" s="4" t="s">
        <v>10194</v>
      </c>
    </row>
    <row r="763">
      <c r="A763" s="4" t="s">
        <v>10195</v>
      </c>
      <c r="B763" s="4" t="s">
        <v>10196</v>
      </c>
    </row>
    <row r="764">
      <c r="A764" s="4" t="s">
        <v>10197</v>
      </c>
      <c r="B764" s="4" t="s">
        <v>10198</v>
      </c>
    </row>
    <row r="765">
      <c r="A765" s="4" t="s">
        <v>10199</v>
      </c>
      <c r="B765" s="4" t="s">
        <v>10200</v>
      </c>
    </row>
    <row r="766">
      <c r="A766" s="4" t="s">
        <v>10201</v>
      </c>
      <c r="B766" s="4" t="s">
        <v>10202</v>
      </c>
    </row>
    <row r="767">
      <c r="A767" s="4" t="s">
        <v>10203</v>
      </c>
      <c r="B767" s="4" t="s">
        <v>10204</v>
      </c>
    </row>
    <row r="768">
      <c r="A768" s="4" t="s">
        <v>10205</v>
      </c>
      <c r="B768" s="4" t="s">
        <v>10206</v>
      </c>
    </row>
    <row r="769">
      <c r="A769" s="4" t="s">
        <v>10207</v>
      </c>
      <c r="B769" s="4" t="s">
        <v>10208</v>
      </c>
    </row>
    <row r="770">
      <c r="A770" s="4" t="s">
        <v>10209</v>
      </c>
      <c r="B770" s="4" t="s">
        <v>10210</v>
      </c>
    </row>
    <row r="771">
      <c r="A771" s="4" t="s">
        <v>10211</v>
      </c>
      <c r="B771" s="4" t="s">
        <v>10212</v>
      </c>
    </row>
    <row r="772">
      <c r="A772" s="4" t="s">
        <v>10213</v>
      </c>
      <c r="B772" s="4" t="s">
        <v>10214</v>
      </c>
    </row>
    <row r="773">
      <c r="A773" s="4" t="s">
        <v>10215</v>
      </c>
      <c r="B773" s="4" t="s">
        <v>10216</v>
      </c>
    </row>
    <row r="774">
      <c r="A774" s="4" t="s">
        <v>10217</v>
      </c>
      <c r="B774" s="4" t="s">
        <v>10218</v>
      </c>
    </row>
    <row r="775">
      <c r="A775" s="4" t="s">
        <v>10219</v>
      </c>
      <c r="B775" s="4" t="s">
        <v>10220</v>
      </c>
    </row>
    <row r="776">
      <c r="A776" s="4" t="s">
        <v>10221</v>
      </c>
      <c r="B776" s="4" t="s">
        <v>10222</v>
      </c>
    </row>
    <row r="777">
      <c r="A777" s="4" t="s">
        <v>10223</v>
      </c>
      <c r="B777" s="4" t="s">
        <v>10224</v>
      </c>
    </row>
    <row r="778">
      <c r="A778" s="4" t="s">
        <v>10225</v>
      </c>
      <c r="B778" s="4" t="s">
        <v>10226</v>
      </c>
    </row>
    <row r="779">
      <c r="A779" s="4" t="s">
        <v>10227</v>
      </c>
      <c r="B779" s="4" t="s">
        <v>10228</v>
      </c>
    </row>
    <row r="780">
      <c r="A780" s="4" t="s">
        <v>10229</v>
      </c>
      <c r="B780" s="4" t="s">
        <v>10230</v>
      </c>
    </row>
    <row r="781">
      <c r="A781" s="4" t="s">
        <v>10231</v>
      </c>
      <c r="B781" s="4" t="s">
        <v>10232</v>
      </c>
    </row>
    <row r="782">
      <c r="A782" s="4" t="s">
        <v>10233</v>
      </c>
      <c r="B782" s="4" t="s">
        <v>10234</v>
      </c>
    </row>
    <row r="783">
      <c r="A783" s="4" t="s">
        <v>10235</v>
      </c>
      <c r="B783" s="4" t="s">
        <v>10236</v>
      </c>
    </row>
    <row r="784">
      <c r="A784" s="4" t="s">
        <v>10237</v>
      </c>
      <c r="B784" s="4" t="s">
        <v>10238</v>
      </c>
    </row>
    <row r="785">
      <c r="A785" s="4" t="s">
        <v>10239</v>
      </c>
      <c r="B785" s="4" t="s">
        <v>10240</v>
      </c>
    </row>
    <row r="786">
      <c r="A786" s="4" t="s">
        <v>10241</v>
      </c>
      <c r="B786" s="4" t="s">
        <v>10242</v>
      </c>
    </row>
    <row r="787">
      <c r="A787" s="4" t="s">
        <v>10243</v>
      </c>
      <c r="B787" s="4" t="s">
        <v>10244</v>
      </c>
    </row>
    <row r="788">
      <c r="A788" s="4" t="s">
        <v>10245</v>
      </c>
      <c r="B788" s="4" t="s">
        <v>10246</v>
      </c>
    </row>
    <row r="789">
      <c r="A789" s="4" t="s">
        <v>10247</v>
      </c>
      <c r="B789" s="4" t="s">
        <v>10248</v>
      </c>
    </row>
    <row r="790">
      <c r="A790" s="4" t="s">
        <v>10249</v>
      </c>
      <c r="B790" s="4" t="s">
        <v>10250</v>
      </c>
    </row>
    <row r="791">
      <c r="A791" s="4" t="s">
        <v>10251</v>
      </c>
      <c r="B791" s="4" t="s">
        <v>10252</v>
      </c>
    </row>
    <row r="792">
      <c r="A792" s="4" t="s">
        <v>10253</v>
      </c>
      <c r="B792" s="4" t="s">
        <v>10254</v>
      </c>
    </row>
    <row r="793">
      <c r="A793" s="4" t="s">
        <v>10255</v>
      </c>
      <c r="B793" s="4" t="s">
        <v>10256</v>
      </c>
    </row>
    <row r="794">
      <c r="A794" s="4" t="s">
        <v>10257</v>
      </c>
      <c r="B794" s="4" t="s">
        <v>10258</v>
      </c>
    </row>
    <row r="795">
      <c r="A795" s="4" t="s">
        <v>10259</v>
      </c>
      <c r="B795" s="4" t="s">
        <v>10260</v>
      </c>
    </row>
    <row r="796">
      <c r="A796" s="4" t="s">
        <v>10261</v>
      </c>
      <c r="B796" s="4" t="s">
        <v>10262</v>
      </c>
    </row>
    <row r="797">
      <c r="A797" s="4" t="s">
        <v>10263</v>
      </c>
      <c r="B797" s="4" t="s">
        <v>10264</v>
      </c>
    </row>
    <row r="798">
      <c r="A798" s="4" t="s">
        <v>10265</v>
      </c>
      <c r="B798" s="4" t="s">
        <v>10266</v>
      </c>
    </row>
    <row r="799">
      <c r="A799" s="4" t="s">
        <v>10267</v>
      </c>
      <c r="B799" s="4" t="s">
        <v>10268</v>
      </c>
    </row>
    <row r="800">
      <c r="A800" s="4" t="s">
        <v>10269</v>
      </c>
      <c r="B800" s="4" t="s">
        <v>10270</v>
      </c>
    </row>
    <row r="801">
      <c r="A801" s="4" t="s">
        <v>10271</v>
      </c>
      <c r="B801" s="4" t="s">
        <v>10272</v>
      </c>
    </row>
    <row r="802">
      <c r="A802" s="4" t="s">
        <v>10273</v>
      </c>
      <c r="B802" s="4" t="s">
        <v>10274</v>
      </c>
    </row>
    <row r="803">
      <c r="A803" s="4" t="s">
        <v>10275</v>
      </c>
      <c r="B803" s="4" t="s">
        <v>10276</v>
      </c>
    </row>
    <row r="804">
      <c r="A804" s="4" t="s">
        <v>10277</v>
      </c>
      <c r="B804" s="4" t="s">
        <v>10278</v>
      </c>
    </row>
    <row r="805">
      <c r="A805" s="4" t="s">
        <v>10279</v>
      </c>
      <c r="B805" s="4" t="s">
        <v>10280</v>
      </c>
    </row>
    <row r="806">
      <c r="A806" s="4" t="s">
        <v>10281</v>
      </c>
      <c r="B806" s="4" t="s">
        <v>10282</v>
      </c>
    </row>
    <row r="807">
      <c r="A807" s="4" t="s">
        <v>10283</v>
      </c>
      <c r="B807" s="4" t="s">
        <v>10284</v>
      </c>
    </row>
    <row r="808">
      <c r="A808" s="4" t="s">
        <v>10285</v>
      </c>
      <c r="B808" s="4" t="s">
        <v>10286</v>
      </c>
    </row>
    <row r="809">
      <c r="A809" s="4" t="s">
        <v>10287</v>
      </c>
      <c r="B809" s="4" t="s">
        <v>10288</v>
      </c>
    </row>
    <row r="810">
      <c r="A810" s="4" t="s">
        <v>10289</v>
      </c>
      <c r="B810" s="4" t="s">
        <v>10290</v>
      </c>
    </row>
    <row r="811">
      <c r="A811" s="4" t="s">
        <v>10291</v>
      </c>
      <c r="B811" s="4" t="s">
        <v>10292</v>
      </c>
    </row>
    <row r="812">
      <c r="A812" s="4" t="s">
        <v>10293</v>
      </c>
      <c r="B812" s="4" t="s">
        <v>10294</v>
      </c>
    </row>
    <row r="813">
      <c r="A813" s="4" t="s">
        <v>10295</v>
      </c>
      <c r="B813" s="4" t="s">
        <v>10296</v>
      </c>
    </row>
    <row r="814">
      <c r="A814" s="4" t="s">
        <v>10297</v>
      </c>
      <c r="B814" s="4" t="s">
        <v>10298</v>
      </c>
    </row>
    <row r="815">
      <c r="A815" s="4" t="s">
        <v>10299</v>
      </c>
      <c r="B815" s="4" t="s">
        <v>10300</v>
      </c>
    </row>
    <row r="816">
      <c r="A816" s="4" t="s">
        <v>10301</v>
      </c>
      <c r="B816" s="4" t="s">
        <v>10302</v>
      </c>
    </row>
    <row r="817">
      <c r="A817" s="4" t="s">
        <v>10303</v>
      </c>
      <c r="B817" s="4" t="s">
        <v>10304</v>
      </c>
    </row>
    <row r="818">
      <c r="A818" s="4" t="s">
        <v>10305</v>
      </c>
      <c r="B818" s="4" t="s">
        <v>10306</v>
      </c>
    </row>
    <row r="819">
      <c r="A819" s="4" t="s">
        <v>10307</v>
      </c>
      <c r="B819" s="4" t="s">
        <v>10308</v>
      </c>
    </row>
    <row r="820">
      <c r="A820" s="4" t="s">
        <v>10309</v>
      </c>
      <c r="B820" s="4" t="s">
        <v>10310</v>
      </c>
    </row>
    <row r="821">
      <c r="A821" s="4" t="s">
        <v>10311</v>
      </c>
      <c r="B821" s="4" t="s">
        <v>10312</v>
      </c>
    </row>
    <row r="822">
      <c r="A822" s="4" t="s">
        <v>10313</v>
      </c>
      <c r="B822" s="4" t="s">
        <v>10314</v>
      </c>
    </row>
    <row r="823">
      <c r="A823" s="4" t="s">
        <v>10315</v>
      </c>
      <c r="B823" s="4" t="s">
        <v>10316</v>
      </c>
    </row>
    <row r="824">
      <c r="A824" s="4" t="s">
        <v>10317</v>
      </c>
      <c r="B824" s="4" t="s">
        <v>10318</v>
      </c>
    </row>
    <row r="825">
      <c r="A825" s="4" t="s">
        <v>10319</v>
      </c>
      <c r="B825" s="4" t="s">
        <v>10320</v>
      </c>
    </row>
    <row r="826">
      <c r="A826" s="4" t="s">
        <v>10321</v>
      </c>
      <c r="B826" s="4" t="s">
        <v>10322</v>
      </c>
    </row>
    <row r="827">
      <c r="A827" s="4" t="s">
        <v>10323</v>
      </c>
      <c r="B827" s="4" t="s">
        <v>10324</v>
      </c>
    </row>
    <row r="828">
      <c r="A828" s="4" t="s">
        <v>10325</v>
      </c>
      <c r="B828" s="4" t="s">
        <v>10326</v>
      </c>
    </row>
    <row r="829">
      <c r="A829" s="4" t="s">
        <v>10327</v>
      </c>
      <c r="B829" s="4" t="s">
        <v>10328</v>
      </c>
    </row>
    <row r="830">
      <c r="A830" s="4" t="s">
        <v>10329</v>
      </c>
      <c r="B830" s="4" t="s">
        <v>10330</v>
      </c>
    </row>
    <row r="831">
      <c r="A831" s="4" t="s">
        <v>10331</v>
      </c>
      <c r="B831" s="4" t="s">
        <v>10332</v>
      </c>
    </row>
    <row r="832">
      <c r="A832" s="4" t="s">
        <v>10333</v>
      </c>
      <c r="B832" s="4" t="s">
        <v>10334</v>
      </c>
    </row>
    <row r="833">
      <c r="A833" s="4" t="s">
        <v>10335</v>
      </c>
      <c r="B833" s="4" t="s">
        <v>10336</v>
      </c>
    </row>
    <row r="834">
      <c r="A834" s="4" t="s">
        <v>10337</v>
      </c>
      <c r="B834" s="4" t="s">
        <v>10338</v>
      </c>
    </row>
    <row r="835">
      <c r="A835" s="4" t="s">
        <v>10339</v>
      </c>
      <c r="B835" s="4" t="s">
        <v>10340</v>
      </c>
    </row>
    <row r="836">
      <c r="A836" s="4" t="s">
        <v>10341</v>
      </c>
      <c r="B836" s="4" t="s">
        <v>10342</v>
      </c>
    </row>
    <row r="837">
      <c r="A837" s="4" t="s">
        <v>10343</v>
      </c>
      <c r="B837" s="4" t="s">
        <v>10344</v>
      </c>
    </row>
    <row r="838">
      <c r="A838" s="4" t="s">
        <v>10345</v>
      </c>
      <c r="B838" s="4" t="s">
        <v>10346</v>
      </c>
    </row>
    <row r="839">
      <c r="A839" s="4" t="s">
        <v>10347</v>
      </c>
      <c r="B839" s="4" t="s">
        <v>10348</v>
      </c>
    </row>
    <row r="840">
      <c r="A840" s="4" t="s">
        <v>10349</v>
      </c>
      <c r="B840" s="4" t="s">
        <v>10350</v>
      </c>
    </row>
    <row r="841">
      <c r="A841" s="4" t="s">
        <v>10351</v>
      </c>
      <c r="B841" s="4" t="s">
        <v>10352</v>
      </c>
    </row>
    <row r="842">
      <c r="A842" s="4" t="s">
        <v>10353</v>
      </c>
      <c r="B842" s="4" t="s">
        <v>10354</v>
      </c>
    </row>
    <row r="843">
      <c r="A843" s="4" t="s">
        <v>10355</v>
      </c>
      <c r="B843" s="4" t="s">
        <v>10356</v>
      </c>
    </row>
    <row r="844">
      <c r="A844" s="4" t="s">
        <v>10357</v>
      </c>
      <c r="B844" s="4" t="s">
        <v>10358</v>
      </c>
    </row>
    <row r="845">
      <c r="A845" s="4" t="s">
        <v>10359</v>
      </c>
      <c r="B845" s="4" t="s">
        <v>10360</v>
      </c>
    </row>
    <row r="846">
      <c r="A846" s="4" t="s">
        <v>10361</v>
      </c>
      <c r="B846" s="4" t="s">
        <v>10362</v>
      </c>
    </row>
    <row r="847">
      <c r="A847" s="4" t="s">
        <v>10363</v>
      </c>
      <c r="B847" s="4" t="s">
        <v>10364</v>
      </c>
    </row>
    <row r="848">
      <c r="A848" s="4" t="s">
        <v>10365</v>
      </c>
      <c r="B848" s="4" t="s">
        <v>10366</v>
      </c>
    </row>
    <row r="849">
      <c r="A849" s="4" t="s">
        <v>10367</v>
      </c>
      <c r="B849" s="4" t="s">
        <v>10368</v>
      </c>
    </row>
    <row r="850">
      <c r="A850" s="4" t="s">
        <v>10369</v>
      </c>
      <c r="B850" s="4" t="s">
        <v>10370</v>
      </c>
    </row>
    <row r="851">
      <c r="A851" s="4" t="s">
        <v>10371</v>
      </c>
      <c r="B851" s="4" t="s">
        <v>10372</v>
      </c>
    </row>
    <row r="852">
      <c r="A852" s="4" t="s">
        <v>10373</v>
      </c>
      <c r="B852" s="4" t="s">
        <v>10374</v>
      </c>
    </row>
    <row r="853">
      <c r="A853" s="4" t="s">
        <v>10375</v>
      </c>
      <c r="B853" s="4" t="s">
        <v>10376</v>
      </c>
    </row>
    <row r="854">
      <c r="A854" s="4" t="s">
        <v>10377</v>
      </c>
      <c r="B854" s="4" t="s">
        <v>10378</v>
      </c>
    </row>
    <row r="855">
      <c r="A855" s="4" t="s">
        <v>10379</v>
      </c>
      <c r="B855" s="4" t="s">
        <v>10380</v>
      </c>
    </row>
    <row r="856">
      <c r="A856" s="4" t="s">
        <v>10381</v>
      </c>
      <c r="B856" s="4" t="s">
        <v>10382</v>
      </c>
    </row>
    <row r="857">
      <c r="A857" s="4" t="s">
        <v>10383</v>
      </c>
      <c r="B857" s="4" t="s">
        <v>10384</v>
      </c>
    </row>
    <row r="858">
      <c r="A858" s="4" t="s">
        <v>10385</v>
      </c>
      <c r="B858" s="4" t="s">
        <v>10386</v>
      </c>
    </row>
    <row r="859">
      <c r="A859" s="4" t="s">
        <v>10387</v>
      </c>
      <c r="B859" s="4" t="s">
        <v>10388</v>
      </c>
    </row>
    <row r="860">
      <c r="A860" s="4" t="s">
        <v>10389</v>
      </c>
      <c r="B860" s="4" t="s">
        <v>10390</v>
      </c>
    </row>
    <row r="861">
      <c r="A861" s="4" t="s">
        <v>10391</v>
      </c>
      <c r="B861" s="4" t="s">
        <v>10392</v>
      </c>
    </row>
    <row r="862">
      <c r="A862" s="4" t="s">
        <v>10393</v>
      </c>
      <c r="B862" s="4" t="s">
        <v>10394</v>
      </c>
    </row>
    <row r="863">
      <c r="A863" s="4" t="s">
        <v>10395</v>
      </c>
      <c r="B863" s="4" t="s">
        <v>10396</v>
      </c>
    </row>
    <row r="864">
      <c r="A864" s="4" t="s">
        <v>10397</v>
      </c>
      <c r="B864" s="4" t="s">
        <v>10398</v>
      </c>
    </row>
    <row r="865">
      <c r="A865" s="4" t="s">
        <v>10399</v>
      </c>
      <c r="B865" s="4" t="s">
        <v>10400</v>
      </c>
    </row>
    <row r="866">
      <c r="A866" s="4" t="s">
        <v>10401</v>
      </c>
      <c r="B866" s="4" t="s">
        <v>10402</v>
      </c>
    </row>
    <row r="867">
      <c r="A867" s="4" t="s">
        <v>10403</v>
      </c>
      <c r="B867" s="4" t="s">
        <v>10404</v>
      </c>
    </row>
    <row r="868">
      <c r="A868" s="4" t="s">
        <v>10405</v>
      </c>
      <c r="B868" s="4" t="s">
        <v>10406</v>
      </c>
    </row>
    <row r="869">
      <c r="A869" s="4" t="s">
        <v>10407</v>
      </c>
      <c r="B869" s="4" t="s">
        <v>10408</v>
      </c>
    </row>
    <row r="870">
      <c r="A870" s="4" t="s">
        <v>10409</v>
      </c>
      <c r="B870" s="4" t="s">
        <v>10410</v>
      </c>
    </row>
    <row r="871">
      <c r="A871" s="4" t="s">
        <v>10411</v>
      </c>
      <c r="B871" s="4" t="s">
        <v>10412</v>
      </c>
    </row>
    <row r="872">
      <c r="A872" s="4" t="s">
        <v>10413</v>
      </c>
      <c r="B872" s="4" t="s">
        <v>10414</v>
      </c>
    </row>
    <row r="873">
      <c r="A873" s="4" t="s">
        <v>10415</v>
      </c>
      <c r="B873" s="4" t="s">
        <v>10416</v>
      </c>
    </row>
    <row r="874">
      <c r="A874" s="4" t="s">
        <v>10417</v>
      </c>
      <c r="B874" s="4" t="s">
        <v>10418</v>
      </c>
    </row>
    <row r="875">
      <c r="A875" s="4" t="s">
        <v>10419</v>
      </c>
      <c r="B875" s="4" t="s">
        <v>10420</v>
      </c>
    </row>
    <row r="876">
      <c r="A876" s="4" t="s">
        <v>10421</v>
      </c>
      <c r="B876" s="4" t="s">
        <v>10422</v>
      </c>
    </row>
    <row r="877">
      <c r="A877" s="4" t="s">
        <v>10423</v>
      </c>
      <c r="B877" s="4" t="s">
        <v>10424</v>
      </c>
    </row>
    <row r="878">
      <c r="A878" s="4" t="s">
        <v>10425</v>
      </c>
      <c r="B878" s="4" t="s">
        <v>10426</v>
      </c>
    </row>
    <row r="879">
      <c r="A879" s="4" t="s">
        <v>10427</v>
      </c>
      <c r="B879" s="4" t="s">
        <v>10428</v>
      </c>
    </row>
    <row r="880">
      <c r="A880" s="4" t="s">
        <v>10429</v>
      </c>
      <c r="B880" s="4" t="s">
        <v>10430</v>
      </c>
    </row>
    <row r="881">
      <c r="A881" s="4" t="s">
        <v>10431</v>
      </c>
      <c r="B881" s="4" t="s">
        <v>10432</v>
      </c>
    </row>
    <row r="882">
      <c r="A882" s="4" t="s">
        <v>10433</v>
      </c>
      <c r="B882" s="4" t="s">
        <v>10434</v>
      </c>
    </row>
    <row r="883">
      <c r="A883" s="4" t="s">
        <v>10435</v>
      </c>
      <c r="B883" s="4" t="s">
        <v>10436</v>
      </c>
    </row>
    <row r="884">
      <c r="A884" s="4" t="s">
        <v>10437</v>
      </c>
      <c r="B884" s="4" t="s">
        <v>10438</v>
      </c>
    </row>
    <row r="885">
      <c r="A885" s="4" t="s">
        <v>10439</v>
      </c>
      <c r="B885" s="4" t="s">
        <v>10440</v>
      </c>
    </row>
    <row r="886">
      <c r="A886" s="4" t="s">
        <v>10441</v>
      </c>
      <c r="B886" s="4" t="s">
        <v>10442</v>
      </c>
    </row>
    <row r="887">
      <c r="A887" s="4" t="s">
        <v>10443</v>
      </c>
      <c r="B887" s="4" t="s">
        <v>10444</v>
      </c>
    </row>
    <row r="888">
      <c r="A888" s="4" t="s">
        <v>10445</v>
      </c>
      <c r="B888" s="4" t="s">
        <v>10446</v>
      </c>
    </row>
    <row r="889">
      <c r="A889" s="4" t="s">
        <v>10447</v>
      </c>
      <c r="B889" s="4" t="s">
        <v>10448</v>
      </c>
    </row>
    <row r="890">
      <c r="A890" s="4" t="s">
        <v>10449</v>
      </c>
      <c r="B890" s="4" t="s">
        <v>10450</v>
      </c>
    </row>
    <row r="891">
      <c r="A891" s="4" t="s">
        <v>10451</v>
      </c>
      <c r="B891" s="4" t="s">
        <v>10452</v>
      </c>
    </row>
    <row r="892">
      <c r="A892" s="4" t="s">
        <v>10453</v>
      </c>
      <c r="B892" s="4" t="s">
        <v>10454</v>
      </c>
    </row>
    <row r="893">
      <c r="A893" s="4" t="s">
        <v>10455</v>
      </c>
      <c r="B893" s="4" t="s">
        <v>10456</v>
      </c>
    </row>
    <row r="894">
      <c r="A894" s="4" t="s">
        <v>10457</v>
      </c>
      <c r="B894" s="4" t="s">
        <v>10458</v>
      </c>
    </row>
    <row r="895">
      <c r="A895" s="4" t="s">
        <v>10459</v>
      </c>
      <c r="B895" s="4" t="s">
        <v>10460</v>
      </c>
    </row>
    <row r="896">
      <c r="A896" s="4" t="s">
        <v>10461</v>
      </c>
      <c r="B896" s="4" t="s">
        <v>10462</v>
      </c>
    </row>
    <row r="897">
      <c r="A897" s="4" t="s">
        <v>10463</v>
      </c>
      <c r="B897" s="4" t="s">
        <v>10464</v>
      </c>
    </row>
    <row r="898">
      <c r="A898" s="4" t="s">
        <v>10465</v>
      </c>
      <c r="B898" s="4" t="s">
        <v>10466</v>
      </c>
    </row>
    <row r="899">
      <c r="A899" s="4" t="s">
        <v>10467</v>
      </c>
      <c r="B899" s="4" t="s">
        <v>10468</v>
      </c>
    </row>
    <row r="900">
      <c r="A900" s="4" t="s">
        <v>10469</v>
      </c>
      <c r="B900" s="4" t="s">
        <v>10470</v>
      </c>
    </row>
    <row r="901">
      <c r="A901" s="4" t="s">
        <v>10471</v>
      </c>
      <c r="B901" s="4" t="s">
        <v>10472</v>
      </c>
    </row>
    <row r="902">
      <c r="A902" s="4" t="s">
        <v>10473</v>
      </c>
      <c r="B902" s="4" t="s">
        <v>10474</v>
      </c>
    </row>
    <row r="903">
      <c r="A903" s="4" t="s">
        <v>10475</v>
      </c>
      <c r="B903" s="4" t="s">
        <v>10476</v>
      </c>
    </row>
    <row r="904">
      <c r="A904" s="4" t="s">
        <v>10477</v>
      </c>
      <c r="B904" s="4" t="s">
        <v>10478</v>
      </c>
    </row>
    <row r="905">
      <c r="A905" s="4" t="s">
        <v>10479</v>
      </c>
      <c r="B905" s="4" t="s">
        <v>10480</v>
      </c>
    </row>
    <row r="906">
      <c r="A906" s="4" t="s">
        <v>10481</v>
      </c>
      <c r="B906" s="4" t="s">
        <v>10482</v>
      </c>
    </row>
    <row r="907">
      <c r="A907" s="4" t="s">
        <v>10483</v>
      </c>
      <c r="B907" s="4" t="s">
        <v>10484</v>
      </c>
    </row>
    <row r="908">
      <c r="A908" s="4" t="s">
        <v>10485</v>
      </c>
      <c r="B908" s="4" t="s">
        <v>10486</v>
      </c>
    </row>
    <row r="909">
      <c r="A909" s="4" t="s">
        <v>10487</v>
      </c>
      <c r="B909" s="4" t="s">
        <v>10488</v>
      </c>
    </row>
    <row r="910">
      <c r="A910" s="4" t="s">
        <v>10489</v>
      </c>
      <c r="B910" s="4" t="s">
        <v>10490</v>
      </c>
    </row>
    <row r="911">
      <c r="A911" s="4" t="s">
        <v>10491</v>
      </c>
      <c r="B911" s="4" t="s">
        <v>10492</v>
      </c>
    </row>
    <row r="912">
      <c r="A912" s="4" t="s">
        <v>10493</v>
      </c>
      <c r="B912" s="4" t="s">
        <v>10494</v>
      </c>
    </row>
    <row r="913">
      <c r="A913" s="4" t="s">
        <v>10495</v>
      </c>
      <c r="B913" s="4" t="s">
        <v>10496</v>
      </c>
    </row>
    <row r="914">
      <c r="A914" s="4" t="s">
        <v>10497</v>
      </c>
      <c r="B914" s="4" t="s">
        <v>10498</v>
      </c>
    </row>
    <row r="915">
      <c r="A915" s="4" t="s">
        <v>10499</v>
      </c>
      <c r="B915" s="4" t="s">
        <v>10500</v>
      </c>
    </row>
    <row r="916">
      <c r="A916" s="4" t="s">
        <v>10501</v>
      </c>
      <c r="B916" s="4" t="s">
        <v>10502</v>
      </c>
    </row>
    <row r="917">
      <c r="A917" s="4" t="s">
        <v>10503</v>
      </c>
      <c r="B917" s="4" t="s">
        <v>10504</v>
      </c>
    </row>
    <row r="918">
      <c r="A918" s="4" t="s">
        <v>10505</v>
      </c>
      <c r="B918" s="4" t="s">
        <v>10506</v>
      </c>
    </row>
    <row r="919">
      <c r="A919" s="4" t="s">
        <v>10507</v>
      </c>
      <c r="B919" s="4" t="s">
        <v>10508</v>
      </c>
    </row>
    <row r="920">
      <c r="A920" s="4" t="s">
        <v>10509</v>
      </c>
      <c r="B920" s="4" t="s">
        <v>10510</v>
      </c>
    </row>
    <row r="921">
      <c r="A921" s="4" t="s">
        <v>10511</v>
      </c>
      <c r="B921" s="4" t="s">
        <v>10512</v>
      </c>
    </row>
    <row r="922">
      <c r="A922" s="4" t="s">
        <v>10513</v>
      </c>
      <c r="B922" s="4" t="s">
        <v>10514</v>
      </c>
    </row>
    <row r="923">
      <c r="A923" s="4" t="s">
        <v>10515</v>
      </c>
      <c r="B923" s="4" t="s">
        <v>10516</v>
      </c>
    </row>
    <row r="924">
      <c r="A924" s="4" t="s">
        <v>10517</v>
      </c>
      <c r="B924" s="4" t="s">
        <v>10518</v>
      </c>
    </row>
    <row r="925">
      <c r="A925" s="4" t="s">
        <v>10519</v>
      </c>
      <c r="B925" s="4" t="s">
        <v>10520</v>
      </c>
    </row>
    <row r="926">
      <c r="A926" s="4" t="s">
        <v>10521</v>
      </c>
      <c r="B926" s="4" t="s">
        <v>10522</v>
      </c>
    </row>
    <row r="927">
      <c r="A927" s="4" t="s">
        <v>10523</v>
      </c>
      <c r="B927" s="4" t="s">
        <v>10524</v>
      </c>
    </row>
    <row r="928">
      <c r="A928" s="4" t="s">
        <v>10525</v>
      </c>
      <c r="B928" s="4" t="s">
        <v>10526</v>
      </c>
    </row>
    <row r="929">
      <c r="A929" s="4" t="s">
        <v>10527</v>
      </c>
      <c r="B929" s="4" t="s">
        <v>10528</v>
      </c>
    </row>
    <row r="930">
      <c r="A930" s="4" t="s">
        <v>10529</v>
      </c>
      <c r="B930" s="4" t="s">
        <v>10530</v>
      </c>
    </row>
    <row r="931">
      <c r="A931" s="4" t="s">
        <v>10531</v>
      </c>
      <c r="B931" s="4" t="s">
        <v>10532</v>
      </c>
    </row>
    <row r="932">
      <c r="A932" s="4" t="s">
        <v>10533</v>
      </c>
      <c r="B932" s="4" t="s">
        <v>10534</v>
      </c>
    </row>
    <row r="933">
      <c r="A933" s="4" t="s">
        <v>10535</v>
      </c>
      <c r="B933" s="4" t="s">
        <v>10536</v>
      </c>
    </row>
    <row r="934">
      <c r="A934" s="4" t="s">
        <v>10537</v>
      </c>
      <c r="B934" s="4" t="s">
        <v>10538</v>
      </c>
    </row>
    <row r="935">
      <c r="A935" s="4" t="s">
        <v>10539</v>
      </c>
      <c r="B935" s="4" t="s">
        <v>10540</v>
      </c>
    </row>
    <row r="936">
      <c r="A936" s="4" t="s">
        <v>10541</v>
      </c>
      <c r="B936" s="4" t="s">
        <v>10542</v>
      </c>
    </row>
    <row r="937">
      <c r="A937" s="4" t="s">
        <v>10543</v>
      </c>
      <c r="B937" s="4" t="s">
        <v>10544</v>
      </c>
    </row>
    <row r="938">
      <c r="A938" s="4" t="s">
        <v>10545</v>
      </c>
      <c r="B938" s="4" t="s">
        <v>10546</v>
      </c>
    </row>
    <row r="939">
      <c r="A939" s="4" t="s">
        <v>10547</v>
      </c>
      <c r="B939" s="4" t="s">
        <v>10548</v>
      </c>
    </row>
    <row r="940">
      <c r="A940" s="4" t="s">
        <v>10549</v>
      </c>
      <c r="B940" s="4" t="s">
        <v>10550</v>
      </c>
    </row>
    <row r="941">
      <c r="A941" s="4" t="s">
        <v>10551</v>
      </c>
      <c r="B941" s="4" t="s">
        <v>10552</v>
      </c>
    </row>
    <row r="942">
      <c r="A942" s="4" t="s">
        <v>10553</v>
      </c>
      <c r="B942" s="4" t="s">
        <v>10554</v>
      </c>
    </row>
    <row r="943">
      <c r="A943" s="4" t="s">
        <v>10555</v>
      </c>
      <c r="B943" s="4" t="s">
        <v>10556</v>
      </c>
    </row>
    <row r="944">
      <c r="A944" s="4" t="s">
        <v>10557</v>
      </c>
      <c r="B944" s="4" t="s">
        <v>10558</v>
      </c>
    </row>
    <row r="945">
      <c r="A945" s="4" t="s">
        <v>10559</v>
      </c>
      <c r="B945" s="4" t="s">
        <v>10560</v>
      </c>
    </row>
    <row r="946">
      <c r="A946" s="4" t="s">
        <v>10561</v>
      </c>
      <c r="B946" s="4" t="s">
        <v>10562</v>
      </c>
    </row>
    <row r="947">
      <c r="A947" s="4" t="s">
        <v>10563</v>
      </c>
      <c r="B947" s="4" t="s">
        <v>10564</v>
      </c>
    </row>
    <row r="948">
      <c r="A948" s="4" t="s">
        <v>10565</v>
      </c>
      <c r="B948" s="4" t="s">
        <v>10566</v>
      </c>
    </row>
    <row r="949">
      <c r="A949" s="4" t="s">
        <v>10567</v>
      </c>
      <c r="B949" s="4" t="s">
        <v>10568</v>
      </c>
    </row>
    <row r="950">
      <c r="A950" s="4" t="s">
        <v>10569</v>
      </c>
      <c r="B950" s="4" t="s">
        <v>10570</v>
      </c>
    </row>
    <row r="951">
      <c r="A951" s="4" t="s">
        <v>10571</v>
      </c>
      <c r="B951" s="4" t="s">
        <v>10572</v>
      </c>
    </row>
    <row r="952">
      <c r="A952" s="4" t="s">
        <v>10573</v>
      </c>
      <c r="B952" s="4" t="s">
        <v>10574</v>
      </c>
    </row>
    <row r="953">
      <c r="A953" s="4" t="s">
        <v>10575</v>
      </c>
      <c r="B953" s="4" t="s">
        <v>10576</v>
      </c>
    </row>
    <row r="954">
      <c r="A954" s="4" t="s">
        <v>10577</v>
      </c>
      <c r="B954" s="4" t="s">
        <v>10578</v>
      </c>
    </row>
    <row r="955">
      <c r="A955" s="4" t="s">
        <v>10579</v>
      </c>
      <c r="B955" s="4" t="s">
        <v>10580</v>
      </c>
    </row>
    <row r="956">
      <c r="A956" s="4" t="s">
        <v>10581</v>
      </c>
      <c r="B956" s="4" t="s">
        <v>10582</v>
      </c>
    </row>
    <row r="957">
      <c r="A957" s="4" t="s">
        <v>10583</v>
      </c>
      <c r="B957" s="4" t="s">
        <v>10584</v>
      </c>
    </row>
    <row r="958">
      <c r="A958" s="4" t="s">
        <v>10585</v>
      </c>
      <c r="B958" s="4" t="s">
        <v>10586</v>
      </c>
    </row>
    <row r="959">
      <c r="A959" s="4" t="s">
        <v>10587</v>
      </c>
      <c r="B959" s="4" t="s">
        <v>10588</v>
      </c>
    </row>
    <row r="960">
      <c r="A960" s="4" t="s">
        <v>10589</v>
      </c>
      <c r="B960" s="4" t="s">
        <v>10590</v>
      </c>
    </row>
    <row r="961">
      <c r="A961" s="4" t="s">
        <v>10591</v>
      </c>
      <c r="B961" s="4" t="s">
        <v>10592</v>
      </c>
    </row>
    <row r="962">
      <c r="A962" s="4" t="s">
        <v>10593</v>
      </c>
      <c r="B962" s="4" t="s">
        <v>10594</v>
      </c>
    </row>
    <row r="963">
      <c r="A963" s="4" t="s">
        <v>10595</v>
      </c>
      <c r="B963" s="4" t="s">
        <v>10596</v>
      </c>
    </row>
    <row r="964">
      <c r="A964" s="4" t="s">
        <v>10597</v>
      </c>
      <c r="B964" s="4" t="s">
        <v>10598</v>
      </c>
    </row>
    <row r="965">
      <c r="A965" s="4" t="s">
        <v>10599</v>
      </c>
      <c r="B965" s="4" t="s">
        <v>10600</v>
      </c>
    </row>
    <row r="966">
      <c r="A966" s="4" t="s">
        <v>10601</v>
      </c>
      <c r="B966" s="4" t="s">
        <v>10602</v>
      </c>
    </row>
    <row r="967">
      <c r="A967" s="4" t="s">
        <v>10603</v>
      </c>
      <c r="B967" s="4" t="s">
        <v>10604</v>
      </c>
    </row>
    <row r="968">
      <c r="A968" s="4" t="s">
        <v>10605</v>
      </c>
      <c r="B968" s="4" t="s">
        <v>10606</v>
      </c>
    </row>
    <row r="969">
      <c r="A969" s="4" t="s">
        <v>10607</v>
      </c>
      <c r="B969" s="4" t="s">
        <v>10608</v>
      </c>
    </row>
    <row r="970">
      <c r="A970" s="4" t="s">
        <v>10609</v>
      </c>
      <c r="B970" s="4" t="s">
        <v>10610</v>
      </c>
    </row>
    <row r="971">
      <c r="A971" s="4" t="s">
        <v>10611</v>
      </c>
      <c r="B971" s="4" t="s">
        <v>10612</v>
      </c>
    </row>
    <row r="972">
      <c r="A972" s="4" t="s">
        <v>10613</v>
      </c>
      <c r="B972" s="4" t="s">
        <v>10614</v>
      </c>
    </row>
    <row r="973">
      <c r="A973" s="4" t="s">
        <v>10615</v>
      </c>
      <c r="B973" s="4" t="s">
        <v>10616</v>
      </c>
    </row>
    <row r="974">
      <c r="A974" s="4" t="s">
        <v>10617</v>
      </c>
      <c r="B974" s="4" t="s">
        <v>10618</v>
      </c>
    </row>
    <row r="975">
      <c r="A975" s="4" t="s">
        <v>10619</v>
      </c>
      <c r="B975" s="4" t="s">
        <v>10620</v>
      </c>
    </row>
    <row r="976">
      <c r="A976" s="4" t="s">
        <v>10621</v>
      </c>
      <c r="B976" s="4" t="s">
        <v>10622</v>
      </c>
    </row>
    <row r="977">
      <c r="A977" s="4" t="s">
        <v>10623</v>
      </c>
      <c r="B977" s="4" t="s">
        <v>10624</v>
      </c>
    </row>
    <row r="978">
      <c r="A978" s="4" t="s">
        <v>10625</v>
      </c>
      <c r="B978" s="4" t="s">
        <v>10626</v>
      </c>
    </row>
    <row r="979">
      <c r="A979" s="4" t="s">
        <v>10627</v>
      </c>
      <c r="B979" s="4" t="s">
        <v>10628</v>
      </c>
    </row>
    <row r="980">
      <c r="A980" s="4" t="s">
        <v>10629</v>
      </c>
      <c r="B980" s="4" t="s">
        <v>10630</v>
      </c>
    </row>
    <row r="981">
      <c r="A981" s="4" t="s">
        <v>10631</v>
      </c>
      <c r="B981" s="4" t="s">
        <v>10632</v>
      </c>
    </row>
    <row r="982">
      <c r="A982" s="4" t="s">
        <v>10633</v>
      </c>
      <c r="B982" s="4" t="s">
        <v>10634</v>
      </c>
    </row>
    <row r="983">
      <c r="A983" s="4" t="s">
        <v>10635</v>
      </c>
      <c r="B983" s="4" t="s">
        <v>10636</v>
      </c>
    </row>
    <row r="984">
      <c r="A984" s="4" t="s">
        <v>10637</v>
      </c>
      <c r="B984" s="4" t="s">
        <v>10638</v>
      </c>
    </row>
    <row r="985">
      <c r="A985" s="4" t="s">
        <v>10639</v>
      </c>
      <c r="B985" s="4" t="s">
        <v>10640</v>
      </c>
    </row>
    <row r="986">
      <c r="A986" s="4" t="s">
        <v>10641</v>
      </c>
      <c r="B986" s="4" t="s">
        <v>10642</v>
      </c>
    </row>
    <row r="987">
      <c r="A987" s="4" t="s">
        <v>10643</v>
      </c>
      <c r="B987" s="4" t="s">
        <v>10644</v>
      </c>
    </row>
    <row r="988">
      <c r="A988" s="4" t="s">
        <v>10645</v>
      </c>
      <c r="B988" s="4" t="s">
        <v>10646</v>
      </c>
    </row>
    <row r="989">
      <c r="A989" s="4" t="s">
        <v>10647</v>
      </c>
      <c r="B989" s="4" t="s">
        <v>10648</v>
      </c>
    </row>
    <row r="990">
      <c r="A990" s="4" t="s">
        <v>10649</v>
      </c>
      <c r="B990" s="4" t="s">
        <v>10650</v>
      </c>
    </row>
    <row r="991">
      <c r="A991" s="4" t="s">
        <v>10651</v>
      </c>
      <c r="B991" s="4" t="s">
        <v>10652</v>
      </c>
    </row>
    <row r="992">
      <c r="A992" s="4" t="s">
        <v>10653</v>
      </c>
      <c r="B992" s="4" t="s">
        <v>10654</v>
      </c>
    </row>
    <row r="993">
      <c r="A993" s="4" t="s">
        <v>10655</v>
      </c>
      <c r="B993" s="4" t="s">
        <v>10656</v>
      </c>
    </row>
    <row r="994">
      <c r="A994" s="4" t="s">
        <v>10657</v>
      </c>
      <c r="B994" s="4" t="s">
        <v>10658</v>
      </c>
    </row>
    <row r="995">
      <c r="A995" s="4" t="s">
        <v>10659</v>
      </c>
      <c r="B995" s="4" t="s">
        <v>10660</v>
      </c>
    </row>
    <row r="996">
      <c r="A996" s="4" t="s">
        <v>10661</v>
      </c>
      <c r="B996" s="4" t="s">
        <v>10662</v>
      </c>
    </row>
    <row r="997">
      <c r="A997" s="4" t="s">
        <v>10663</v>
      </c>
      <c r="B997" s="4" t="s">
        <v>10664</v>
      </c>
    </row>
    <row r="998">
      <c r="A998" s="4" t="s">
        <v>10665</v>
      </c>
      <c r="B998" s="4" t="s">
        <v>10666</v>
      </c>
    </row>
    <row r="999">
      <c r="A999" s="4" t="s">
        <v>10667</v>
      </c>
      <c r="B999" s="4" t="s">
        <v>10668</v>
      </c>
    </row>
    <row r="1000">
      <c r="A1000" s="4" t="s">
        <v>10669</v>
      </c>
      <c r="B1000" s="4" t="s">
        <v>10670</v>
      </c>
    </row>
    <row r="1001">
      <c r="A1001" s="4" t="s">
        <v>10671</v>
      </c>
      <c r="B1001" s="4" t="s">
        <v>10672</v>
      </c>
    </row>
    <row r="1002">
      <c r="A1002" s="4" t="s">
        <v>10673</v>
      </c>
      <c r="B1002" s="4" t="s">
        <v>10674</v>
      </c>
    </row>
    <row r="1003">
      <c r="A1003" s="4" t="s">
        <v>10675</v>
      </c>
      <c r="B1003" s="4" t="s">
        <v>10676</v>
      </c>
    </row>
    <row r="1004">
      <c r="A1004" s="4" t="s">
        <v>10677</v>
      </c>
      <c r="B1004" s="4" t="s">
        <v>10678</v>
      </c>
    </row>
    <row r="1005">
      <c r="A1005" s="4" t="s">
        <v>10679</v>
      </c>
      <c r="B1005" s="4" t="s">
        <v>10680</v>
      </c>
    </row>
    <row r="1006">
      <c r="A1006" s="4" t="s">
        <v>10681</v>
      </c>
      <c r="B1006" s="4" t="s">
        <v>10682</v>
      </c>
    </row>
    <row r="1007">
      <c r="A1007" s="4" t="s">
        <v>10683</v>
      </c>
      <c r="B1007" s="4" t="s">
        <v>10684</v>
      </c>
    </row>
    <row r="1008">
      <c r="A1008" s="4" t="s">
        <v>10685</v>
      </c>
      <c r="B1008" s="4" t="s">
        <v>10686</v>
      </c>
    </row>
    <row r="1009">
      <c r="A1009" s="4" t="s">
        <v>10687</v>
      </c>
      <c r="B1009" s="4" t="s">
        <v>10688</v>
      </c>
    </row>
    <row r="1010">
      <c r="A1010" s="4" t="s">
        <v>10689</v>
      </c>
      <c r="B1010" s="4" t="s">
        <v>10690</v>
      </c>
    </row>
    <row r="1011">
      <c r="A1011" s="4" t="s">
        <v>10691</v>
      </c>
      <c r="B1011" s="4" t="s">
        <v>10692</v>
      </c>
    </row>
    <row r="1012">
      <c r="A1012" s="4" t="s">
        <v>10693</v>
      </c>
      <c r="B1012" s="4" t="s">
        <v>10694</v>
      </c>
    </row>
    <row r="1013">
      <c r="A1013" s="4" t="s">
        <v>10695</v>
      </c>
      <c r="B1013" s="4" t="s">
        <v>10696</v>
      </c>
    </row>
    <row r="1014">
      <c r="A1014" s="4" t="s">
        <v>10697</v>
      </c>
      <c r="B1014" s="4" t="s">
        <v>10698</v>
      </c>
    </row>
    <row r="1015">
      <c r="A1015" s="4" t="s">
        <v>10699</v>
      </c>
      <c r="B1015" s="4" t="s">
        <v>10700</v>
      </c>
    </row>
    <row r="1016">
      <c r="A1016" s="4" t="s">
        <v>10701</v>
      </c>
      <c r="B1016" s="4" t="s">
        <v>10702</v>
      </c>
    </row>
    <row r="1017">
      <c r="A1017" s="4" t="s">
        <v>10703</v>
      </c>
      <c r="B1017" s="4" t="s">
        <v>10704</v>
      </c>
    </row>
    <row r="1018">
      <c r="A1018" s="4" t="s">
        <v>10705</v>
      </c>
      <c r="B1018" s="4" t="s">
        <v>10706</v>
      </c>
    </row>
    <row r="1019">
      <c r="A1019" s="4" t="s">
        <v>10707</v>
      </c>
      <c r="B1019" s="4" t="s">
        <v>10708</v>
      </c>
    </row>
    <row r="1020">
      <c r="A1020" s="4" t="s">
        <v>10709</v>
      </c>
      <c r="B1020" s="4" t="s">
        <v>10710</v>
      </c>
    </row>
    <row r="1021">
      <c r="A1021" s="4" t="s">
        <v>10711</v>
      </c>
      <c r="B1021" s="4" t="s">
        <v>10712</v>
      </c>
    </row>
    <row r="1022">
      <c r="A1022" s="4" t="s">
        <v>10713</v>
      </c>
      <c r="B1022" s="4" t="s">
        <v>10714</v>
      </c>
    </row>
    <row r="1023">
      <c r="A1023" s="4" t="s">
        <v>10715</v>
      </c>
      <c r="B1023" s="4" t="s">
        <v>10716</v>
      </c>
    </row>
    <row r="1024">
      <c r="A1024" s="4" t="s">
        <v>10717</v>
      </c>
      <c r="B1024" s="4" t="s">
        <v>10718</v>
      </c>
    </row>
    <row r="1025">
      <c r="A1025" s="4" t="s">
        <v>10719</v>
      </c>
      <c r="B1025" s="4" t="s">
        <v>10720</v>
      </c>
    </row>
    <row r="1026">
      <c r="A1026" s="4" t="s">
        <v>10721</v>
      </c>
      <c r="B1026" s="4" t="s">
        <v>10722</v>
      </c>
    </row>
    <row r="1027">
      <c r="A1027" s="4" t="s">
        <v>10723</v>
      </c>
      <c r="B1027" s="4" t="s">
        <v>10724</v>
      </c>
    </row>
    <row r="1028">
      <c r="A1028" s="4" t="s">
        <v>10725</v>
      </c>
      <c r="B1028" s="4" t="s">
        <v>10726</v>
      </c>
    </row>
    <row r="1029">
      <c r="A1029" s="4" t="s">
        <v>10727</v>
      </c>
      <c r="B1029" s="4" t="s">
        <v>10728</v>
      </c>
    </row>
    <row r="1030">
      <c r="A1030" s="4" t="s">
        <v>10729</v>
      </c>
      <c r="B1030" s="4" t="s">
        <v>10730</v>
      </c>
    </row>
    <row r="1031">
      <c r="A1031" s="4" t="s">
        <v>10731</v>
      </c>
      <c r="B1031" s="4" t="s">
        <v>10732</v>
      </c>
    </row>
    <row r="1032">
      <c r="A1032" s="4" t="s">
        <v>10733</v>
      </c>
      <c r="B1032" s="4" t="s">
        <v>10734</v>
      </c>
    </row>
    <row r="1033">
      <c r="A1033" s="4" t="s">
        <v>10735</v>
      </c>
      <c r="B1033" s="4" t="s">
        <v>10736</v>
      </c>
    </row>
    <row r="1034">
      <c r="A1034" s="4" t="s">
        <v>10737</v>
      </c>
      <c r="B1034" s="4" t="s">
        <v>10738</v>
      </c>
    </row>
    <row r="1035">
      <c r="A1035" s="4" t="s">
        <v>10739</v>
      </c>
      <c r="B1035" s="4" t="s">
        <v>10740</v>
      </c>
    </row>
    <row r="1036">
      <c r="A1036" s="4" t="s">
        <v>10741</v>
      </c>
      <c r="B1036" s="4" t="s">
        <v>10742</v>
      </c>
    </row>
    <row r="1037">
      <c r="A1037" s="4" t="s">
        <v>10743</v>
      </c>
      <c r="B1037" s="4" t="s">
        <v>10744</v>
      </c>
    </row>
    <row r="1038">
      <c r="A1038" s="4" t="s">
        <v>10745</v>
      </c>
      <c r="B1038" s="4" t="s">
        <v>10746</v>
      </c>
    </row>
    <row r="1039">
      <c r="A1039" s="4" t="s">
        <v>10747</v>
      </c>
      <c r="B1039" s="4" t="s">
        <v>10748</v>
      </c>
    </row>
    <row r="1040">
      <c r="A1040" s="4" t="s">
        <v>10749</v>
      </c>
      <c r="B1040" s="4" t="s">
        <v>10750</v>
      </c>
    </row>
    <row r="1041">
      <c r="A1041" s="4" t="s">
        <v>10751</v>
      </c>
      <c r="B1041" s="4" t="s">
        <v>10752</v>
      </c>
    </row>
    <row r="1042">
      <c r="A1042" s="4" t="s">
        <v>10753</v>
      </c>
      <c r="B1042" s="4" t="s">
        <v>10754</v>
      </c>
    </row>
    <row r="1043">
      <c r="A1043" s="4" t="s">
        <v>10755</v>
      </c>
      <c r="B1043" s="4" t="s">
        <v>10756</v>
      </c>
    </row>
    <row r="1044">
      <c r="A1044" s="4" t="s">
        <v>10757</v>
      </c>
      <c r="B1044" s="4" t="s">
        <v>10758</v>
      </c>
    </row>
    <row r="1045">
      <c r="A1045" s="4" t="s">
        <v>10759</v>
      </c>
      <c r="B1045" s="4" t="s">
        <v>10760</v>
      </c>
    </row>
    <row r="1046">
      <c r="A1046" s="4" t="s">
        <v>10761</v>
      </c>
      <c r="B1046" s="4" t="s">
        <v>10762</v>
      </c>
    </row>
    <row r="1047">
      <c r="A1047" s="4" t="s">
        <v>10763</v>
      </c>
      <c r="B1047" s="4" t="s">
        <v>10764</v>
      </c>
    </row>
    <row r="1048">
      <c r="A1048" s="4" t="s">
        <v>10765</v>
      </c>
      <c r="B1048" s="4" t="s">
        <v>10766</v>
      </c>
    </row>
    <row r="1049">
      <c r="A1049" s="4" t="s">
        <v>10767</v>
      </c>
      <c r="B1049" s="4" t="s">
        <v>10768</v>
      </c>
    </row>
    <row r="1050">
      <c r="A1050" s="4" t="s">
        <v>10769</v>
      </c>
      <c r="B1050" s="4" t="s">
        <v>10770</v>
      </c>
    </row>
    <row r="1051">
      <c r="A1051" s="4" t="s">
        <v>10771</v>
      </c>
      <c r="B1051" s="4" t="s">
        <v>10772</v>
      </c>
    </row>
    <row r="1052">
      <c r="A1052" s="4" t="s">
        <v>10773</v>
      </c>
      <c r="B1052" s="4" t="s">
        <v>10774</v>
      </c>
    </row>
    <row r="1053">
      <c r="A1053" s="4" t="s">
        <v>10775</v>
      </c>
      <c r="B1053" s="4" t="s">
        <v>10776</v>
      </c>
    </row>
    <row r="1054">
      <c r="A1054" s="4" t="s">
        <v>10777</v>
      </c>
      <c r="B1054" s="4" t="s">
        <v>10778</v>
      </c>
    </row>
    <row r="1055">
      <c r="A1055" s="4" t="s">
        <v>10779</v>
      </c>
      <c r="B1055" s="4" t="s">
        <v>10780</v>
      </c>
    </row>
    <row r="1056">
      <c r="A1056" s="4" t="s">
        <v>10781</v>
      </c>
      <c r="B1056" s="4" t="s">
        <v>10782</v>
      </c>
    </row>
    <row r="1057">
      <c r="A1057" s="4" t="s">
        <v>10783</v>
      </c>
      <c r="B1057" s="4" t="s">
        <v>10784</v>
      </c>
    </row>
    <row r="1058">
      <c r="A1058" s="4" t="s">
        <v>10785</v>
      </c>
      <c r="B1058" s="4" t="s">
        <v>10786</v>
      </c>
    </row>
    <row r="1059">
      <c r="A1059" s="4" t="s">
        <v>10787</v>
      </c>
      <c r="B1059" s="4" t="s">
        <v>10788</v>
      </c>
    </row>
    <row r="1060">
      <c r="A1060" s="4" t="s">
        <v>10789</v>
      </c>
      <c r="B1060" s="4" t="s">
        <v>10790</v>
      </c>
    </row>
    <row r="1061">
      <c r="A1061" s="4" t="s">
        <v>10791</v>
      </c>
      <c r="B1061" s="4" t="s">
        <v>10792</v>
      </c>
    </row>
    <row r="1062">
      <c r="A1062" s="4" t="s">
        <v>10793</v>
      </c>
      <c r="B1062" s="4" t="s">
        <v>10794</v>
      </c>
    </row>
    <row r="1063">
      <c r="A1063" s="4" t="s">
        <v>10795</v>
      </c>
      <c r="B1063" s="4" t="s">
        <v>10796</v>
      </c>
    </row>
    <row r="1064">
      <c r="A1064" s="4" t="s">
        <v>10797</v>
      </c>
      <c r="B1064" s="4" t="s">
        <v>10798</v>
      </c>
    </row>
    <row r="1065">
      <c r="A1065" s="4" t="s">
        <v>10799</v>
      </c>
      <c r="B1065" s="4" t="s">
        <v>10800</v>
      </c>
    </row>
    <row r="1066">
      <c r="A1066" s="4" t="s">
        <v>10801</v>
      </c>
      <c r="B1066" s="4" t="s">
        <v>10802</v>
      </c>
    </row>
    <row r="1067">
      <c r="A1067" s="4" t="s">
        <v>10803</v>
      </c>
      <c r="B1067" s="4" t="s">
        <v>10804</v>
      </c>
    </row>
    <row r="1068">
      <c r="A1068" s="4" t="s">
        <v>10805</v>
      </c>
      <c r="B1068" s="4" t="s">
        <v>10806</v>
      </c>
    </row>
    <row r="1069">
      <c r="A1069" s="4" t="s">
        <v>10807</v>
      </c>
      <c r="B1069" s="4" t="s">
        <v>10808</v>
      </c>
    </row>
    <row r="1070">
      <c r="A1070" s="4" t="s">
        <v>10809</v>
      </c>
      <c r="B1070" s="4" t="s">
        <v>10810</v>
      </c>
    </row>
    <row r="1071">
      <c r="A1071" s="4" t="s">
        <v>10811</v>
      </c>
      <c r="B1071" s="4" t="s">
        <v>10812</v>
      </c>
    </row>
    <row r="1072">
      <c r="A1072" s="4" t="s">
        <v>10813</v>
      </c>
      <c r="B1072" s="4" t="s">
        <v>10814</v>
      </c>
    </row>
    <row r="1073">
      <c r="A1073" s="4" t="s">
        <v>10815</v>
      </c>
      <c r="B1073" s="4" t="s">
        <v>10816</v>
      </c>
    </row>
    <row r="1074">
      <c r="A1074" s="4" t="s">
        <v>10817</v>
      </c>
      <c r="B1074" s="4" t="s">
        <v>10818</v>
      </c>
    </row>
    <row r="1075">
      <c r="A1075" s="4" t="s">
        <v>10819</v>
      </c>
      <c r="B1075" s="4" t="s">
        <v>10820</v>
      </c>
    </row>
    <row r="1076">
      <c r="A1076" s="4" t="s">
        <v>10821</v>
      </c>
      <c r="B1076" s="4" t="s">
        <v>10822</v>
      </c>
    </row>
    <row r="1077">
      <c r="A1077" s="4" t="s">
        <v>10823</v>
      </c>
      <c r="B1077" s="4" t="s">
        <v>10824</v>
      </c>
    </row>
    <row r="1078">
      <c r="A1078" s="4" t="s">
        <v>10825</v>
      </c>
      <c r="B1078" s="4" t="s">
        <v>10826</v>
      </c>
    </row>
    <row r="1079">
      <c r="A1079" s="4" t="s">
        <v>10827</v>
      </c>
      <c r="B1079" s="4" t="s">
        <v>10828</v>
      </c>
    </row>
    <row r="1080">
      <c r="A1080" s="4" t="s">
        <v>10829</v>
      </c>
      <c r="B1080" s="4" t="s">
        <v>10830</v>
      </c>
    </row>
    <row r="1081">
      <c r="A1081" s="4" t="s">
        <v>10831</v>
      </c>
      <c r="B1081" s="4" t="s">
        <v>10832</v>
      </c>
    </row>
    <row r="1082">
      <c r="A1082" s="4" t="s">
        <v>10833</v>
      </c>
      <c r="B1082" s="4" t="s">
        <v>10834</v>
      </c>
    </row>
    <row r="1083">
      <c r="A1083" s="4" t="s">
        <v>10835</v>
      </c>
      <c r="B1083" s="4" t="s">
        <v>10836</v>
      </c>
    </row>
    <row r="1084">
      <c r="A1084" s="4" t="s">
        <v>10837</v>
      </c>
      <c r="B1084" s="4" t="s">
        <v>10838</v>
      </c>
    </row>
    <row r="1085">
      <c r="A1085" s="4" t="s">
        <v>10839</v>
      </c>
      <c r="B1085" s="4" t="s">
        <v>10840</v>
      </c>
    </row>
    <row r="1086">
      <c r="A1086" s="4" t="s">
        <v>10841</v>
      </c>
      <c r="B1086" s="4" t="s">
        <v>10842</v>
      </c>
    </row>
    <row r="1087">
      <c r="A1087" s="4" t="s">
        <v>10843</v>
      </c>
      <c r="B1087" s="4" t="s">
        <v>10844</v>
      </c>
    </row>
    <row r="1088">
      <c r="A1088" s="4" t="s">
        <v>10845</v>
      </c>
      <c r="B1088" s="4" t="s">
        <v>10846</v>
      </c>
    </row>
    <row r="1089">
      <c r="A1089" s="4" t="s">
        <v>10847</v>
      </c>
      <c r="B1089" s="4" t="s">
        <v>10848</v>
      </c>
    </row>
    <row r="1090">
      <c r="A1090" s="4" t="s">
        <v>10849</v>
      </c>
      <c r="B1090" s="4" t="s">
        <v>10850</v>
      </c>
    </row>
    <row r="1091">
      <c r="A1091" s="4" t="s">
        <v>10851</v>
      </c>
      <c r="B1091" s="4" t="s">
        <v>10852</v>
      </c>
    </row>
    <row r="1092">
      <c r="A1092" s="4" t="s">
        <v>10853</v>
      </c>
      <c r="B1092" s="4" t="s">
        <v>10854</v>
      </c>
    </row>
    <row r="1093">
      <c r="A1093" s="4" t="s">
        <v>10855</v>
      </c>
      <c r="B1093" s="4" t="s">
        <v>10856</v>
      </c>
    </row>
    <row r="1094">
      <c r="A1094" s="4" t="s">
        <v>10857</v>
      </c>
      <c r="B1094" s="4" t="s">
        <v>10858</v>
      </c>
    </row>
    <row r="1095">
      <c r="A1095" s="4" t="s">
        <v>10859</v>
      </c>
      <c r="B1095" s="4" t="s">
        <v>10860</v>
      </c>
    </row>
    <row r="1096">
      <c r="A1096" s="4" t="s">
        <v>10861</v>
      </c>
      <c r="B1096" s="4" t="s">
        <v>10862</v>
      </c>
    </row>
    <row r="1097">
      <c r="A1097" s="4" t="s">
        <v>10863</v>
      </c>
      <c r="B1097" s="4" t="s">
        <v>10864</v>
      </c>
    </row>
    <row r="1098">
      <c r="A1098" s="4" t="s">
        <v>10865</v>
      </c>
      <c r="B1098" s="4" t="s">
        <v>10866</v>
      </c>
    </row>
    <row r="1099">
      <c r="A1099" s="4" t="s">
        <v>10867</v>
      </c>
      <c r="B1099" s="4" t="s">
        <v>10868</v>
      </c>
    </row>
    <row r="1100">
      <c r="A1100" s="4" t="s">
        <v>10869</v>
      </c>
      <c r="B1100" s="4" t="s">
        <v>10870</v>
      </c>
    </row>
    <row r="1101">
      <c r="A1101" s="4" t="s">
        <v>10871</v>
      </c>
      <c r="B1101" s="4" t="s">
        <v>10872</v>
      </c>
    </row>
    <row r="1102">
      <c r="A1102" s="4" t="s">
        <v>10873</v>
      </c>
      <c r="B1102" s="4" t="s">
        <v>10874</v>
      </c>
    </row>
    <row r="1103">
      <c r="A1103" s="4" t="s">
        <v>10875</v>
      </c>
      <c r="B1103" s="4" t="s">
        <v>10876</v>
      </c>
    </row>
    <row r="1104">
      <c r="A1104" s="4" t="s">
        <v>10877</v>
      </c>
      <c r="B1104" s="4" t="s">
        <v>10878</v>
      </c>
    </row>
    <row r="1105">
      <c r="A1105" s="4" t="s">
        <v>10879</v>
      </c>
      <c r="B1105" s="4" t="s">
        <v>10880</v>
      </c>
    </row>
    <row r="1106">
      <c r="A1106" s="4" t="s">
        <v>10881</v>
      </c>
      <c r="B1106" s="4" t="s">
        <v>10882</v>
      </c>
    </row>
    <row r="1107">
      <c r="A1107" s="4" t="s">
        <v>10883</v>
      </c>
      <c r="B1107" s="4" t="s">
        <v>10884</v>
      </c>
    </row>
    <row r="1108">
      <c r="A1108" s="4" t="s">
        <v>10885</v>
      </c>
      <c r="B1108" s="4" t="s">
        <v>10886</v>
      </c>
    </row>
    <row r="1109">
      <c r="A1109" s="4" t="s">
        <v>10887</v>
      </c>
      <c r="B1109" s="4" t="s">
        <v>10888</v>
      </c>
    </row>
    <row r="1110">
      <c r="A1110" s="4" t="s">
        <v>10889</v>
      </c>
      <c r="B1110" s="4" t="s">
        <v>10890</v>
      </c>
    </row>
    <row r="1111">
      <c r="A1111" s="4" t="s">
        <v>10891</v>
      </c>
      <c r="B1111" s="4" t="s">
        <v>10892</v>
      </c>
    </row>
    <row r="1112">
      <c r="A1112" s="4" t="s">
        <v>10893</v>
      </c>
      <c r="B1112" s="4" t="s">
        <v>10894</v>
      </c>
    </row>
    <row r="1113">
      <c r="A1113" s="4" t="s">
        <v>10895</v>
      </c>
      <c r="B1113" s="4" t="s">
        <v>10896</v>
      </c>
    </row>
    <row r="1114">
      <c r="A1114" s="4" t="s">
        <v>10897</v>
      </c>
      <c r="B1114" s="4" t="s">
        <v>10898</v>
      </c>
    </row>
    <row r="1115">
      <c r="A1115" s="4" t="s">
        <v>10899</v>
      </c>
      <c r="B1115" s="4" t="s">
        <v>10900</v>
      </c>
    </row>
    <row r="1116">
      <c r="A1116" s="4" t="s">
        <v>10901</v>
      </c>
      <c r="B1116" s="4" t="s">
        <v>10902</v>
      </c>
    </row>
    <row r="1117">
      <c r="A1117" s="4" t="s">
        <v>10903</v>
      </c>
      <c r="B1117" s="4" t="s">
        <v>10904</v>
      </c>
    </row>
    <row r="1118">
      <c r="A1118" s="4" t="s">
        <v>10905</v>
      </c>
      <c r="B1118" s="4" t="s">
        <v>10906</v>
      </c>
    </row>
    <row r="1119">
      <c r="A1119" s="4" t="s">
        <v>10907</v>
      </c>
      <c r="B1119" s="4" t="s">
        <v>10908</v>
      </c>
    </row>
    <row r="1120">
      <c r="A1120" s="4" t="s">
        <v>10909</v>
      </c>
      <c r="B1120" s="4" t="s">
        <v>10910</v>
      </c>
    </row>
    <row r="1121">
      <c r="A1121" s="4" t="s">
        <v>10911</v>
      </c>
      <c r="B1121" s="4" t="s">
        <v>10912</v>
      </c>
    </row>
    <row r="1122">
      <c r="A1122" s="4" t="s">
        <v>10913</v>
      </c>
      <c r="B1122" s="4" t="s">
        <v>10914</v>
      </c>
    </row>
    <row r="1123">
      <c r="A1123" s="4" t="s">
        <v>10915</v>
      </c>
      <c r="B1123" s="4" t="s">
        <v>10916</v>
      </c>
    </row>
    <row r="1124">
      <c r="A1124" s="4" t="s">
        <v>10917</v>
      </c>
      <c r="B1124" s="4" t="s">
        <v>10918</v>
      </c>
    </row>
    <row r="1125">
      <c r="A1125" s="4" t="s">
        <v>10919</v>
      </c>
      <c r="B1125" s="4" t="s">
        <v>10920</v>
      </c>
    </row>
    <row r="1126">
      <c r="A1126" s="4" t="s">
        <v>10921</v>
      </c>
      <c r="B1126" s="4" t="s">
        <v>10922</v>
      </c>
    </row>
    <row r="1127">
      <c r="A1127" s="4" t="s">
        <v>10923</v>
      </c>
      <c r="B1127" s="4" t="s">
        <v>10924</v>
      </c>
    </row>
    <row r="1128">
      <c r="A1128" s="4" t="s">
        <v>10925</v>
      </c>
      <c r="B1128" s="4" t="s">
        <v>10926</v>
      </c>
    </row>
    <row r="1129">
      <c r="A1129" s="4" t="s">
        <v>10927</v>
      </c>
      <c r="B1129" s="4" t="s">
        <v>10928</v>
      </c>
    </row>
    <row r="1130">
      <c r="A1130" s="4" t="s">
        <v>10929</v>
      </c>
      <c r="B1130" s="4" t="s">
        <v>10930</v>
      </c>
    </row>
    <row r="1131">
      <c r="A1131" s="4" t="s">
        <v>10931</v>
      </c>
      <c r="B1131" s="4" t="s">
        <v>10932</v>
      </c>
    </row>
    <row r="1132">
      <c r="A1132" s="4" t="s">
        <v>10933</v>
      </c>
      <c r="B1132" s="4" t="s">
        <v>10934</v>
      </c>
    </row>
    <row r="1133">
      <c r="A1133" s="4" t="s">
        <v>10935</v>
      </c>
      <c r="B1133" s="4" t="s">
        <v>10936</v>
      </c>
    </row>
    <row r="1134">
      <c r="A1134" s="4" t="s">
        <v>10937</v>
      </c>
      <c r="B1134" s="4" t="s">
        <v>10938</v>
      </c>
    </row>
    <row r="1135">
      <c r="A1135" s="4" t="s">
        <v>10939</v>
      </c>
      <c r="B1135" s="4" t="s">
        <v>10940</v>
      </c>
    </row>
    <row r="1136">
      <c r="A1136" s="4" t="s">
        <v>10941</v>
      </c>
      <c r="B1136" s="4" t="s">
        <v>10942</v>
      </c>
    </row>
    <row r="1137">
      <c r="A1137" s="4" t="s">
        <v>10943</v>
      </c>
      <c r="B1137" s="4" t="s">
        <v>10944</v>
      </c>
    </row>
    <row r="1138">
      <c r="A1138" s="4" t="s">
        <v>10945</v>
      </c>
      <c r="B1138" s="4" t="s">
        <v>10946</v>
      </c>
    </row>
    <row r="1139">
      <c r="A1139" s="4" t="s">
        <v>10947</v>
      </c>
      <c r="B1139" s="4" t="s">
        <v>10948</v>
      </c>
    </row>
    <row r="1140">
      <c r="A1140" s="4" t="s">
        <v>10949</v>
      </c>
      <c r="B1140" s="4" t="s">
        <v>10950</v>
      </c>
    </row>
    <row r="1141">
      <c r="A1141" s="4" t="s">
        <v>10951</v>
      </c>
      <c r="B1141" s="4" t="s">
        <v>10952</v>
      </c>
    </row>
    <row r="1142">
      <c r="A1142" s="4" t="s">
        <v>10953</v>
      </c>
      <c r="B1142" s="4" t="s">
        <v>10954</v>
      </c>
    </row>
    <row r="1143">
      <c r="A1143" s="4" t="s">
        <v>10955</v>
      </c>
      <c r="B1143" s="4" t="s">
        <v>10956</v>
      </c>
    </row>
    <row r="1144">
      <c r="A1144" s="4" t="s">
        <v>10957</v>
      </c>
      <c r="B1144" s="4" t="s">
        <v>10958</v>
      </c>
    </row>
    <row r="1145">
      <c r="A1145" s="4" t="s">
        <v>10959</v>
      </c>
      <c r="B1145" s="4" t="s">
        <v>10960</v>
      </c>
    </row>
    <row r="1146">
      <c r="A1146" s="4" t="s">
        <v>10961</v>
      </c>
      <c r="B1146" s="4" t="s">
        <v>10962</v>
      </c>
    </row>
    <row r="1147">
      <c r="A1147" s="4" t="s">
        <v>10963</v>
      </c>
      <c r="B1147" s="4" t="s">
        <v>10964</v>
      </c>
    </row>
    <row r="1148">
      <c r="A1148" s="4" t="s">
        <v>10965</v>
      </c>
      <c r="B1148" s="4" t="s">
        <v>10966</v>
      </c>
    </row>
    <row r="1149">
      <c r="A1149" s="4" t="s">
        <v>10967</v>
      </c>
      <c r="B1149" s="4" t="s">
        <v>10968</v>
      </c>
    </row>
    <row r="1150">
      <c r="A1150" s="4" t="s">
        <v>10969</v>
      </c>
      <c r="B1150" s="4" t="s">
        <v>10970</v>
      </c>
    </row>
    <row r="1151">
      <c r="A1151" s="4" t="s">
        <v>10971</v>
      </c>
      <c r="B1151" s="4" t="s">
        <v>10972</v>
      </c>
    </row>
    <row r="1152">
      <c r="A1152" s="4" t="s">
        <v>10973</v>
      </c>
      <c r="B1152" s="4" t="s">
        <v>10974</v>
      </c>
    </row>
    <row r="1153">
      <c r="A1153" s="4" t="s">
        <v>10975</v>
      </c>
      <c r="B1153" s="4" t="s">
        <v>10976</v>
      </c>
    </row>
    <row r="1154">
      <c r="A1154" s="4" t="s">
        <v>10977</v>
      </c>
      <c r="B1154" s="4" t="s">
        <v>10978</v>
      </c>
    </row>
    <row r="1155">
      <c r="A1155" s="4" t="s">
        <v>10979</v>
      </c>
      <c r="B1155" s="4" t="s">
        <v>10980</v>
      </c>
    </row>
    <row r="1156">
      <c r="A1156" s="4" t="s">
        <v>10981</v>
      </c>
      <c r="B1156" s="4" t="s">
        <v>10982</v>
      </c>
    </row>
    <row r="1157">
      <c r="A1157" s="4" t="s">
        <v>10983</v>
      </c>
      <c r="B1157" s="4" t="s">
        <v>10984</v>
      </c>
    </row>
    <row r="1158">
      <c r="A1158" s="4" t="s">
        <v>10985</v>
      </c>
      <c r="B1158" s="4" t="s">
        <v>10986</v>
      </c>
    </row>
    <row r="1159">
      <c r="A1159" s="4" t="s">
        <v>10987</v>
      </c>
      <c r="B1159" s="4" t="s">
        <v>10988</v>
      </c>
    </row>
    <row r="1160">
      <c r="A1160" s="4" t="s">
        <v>10989</v>
      </c>
      <c r="B1160" s="4" t="s">
        <v>10990</v>
      </c>
    </row>
    <row r="1161">
      <c r="A1161" s="4" t="s">
        <v>10991</v>
      </c>
      <c r="B1161" s="4" t="s">
        <v>10992</v>
      </c>
    </row>
    <row r="1162">
      <c r="A1162" s="4" t="s">
        <v>10993</v>
      </c>
      <c r="B1162" s="4" t="s">
        <v>10994</v>
      </c>
    </row>
    <row r="1163">
      <c r="A1163" s="4" t="s">
        <v>10995</v>
      </c>
      <c r="B1163" s="4" t="s">
        <v>10996</v>
      </c>
    </row>
    <row r="1164">
      <c r="A1164" s="4" t="s">
        <v>10997</v>
      </c>
      <c r="B1164" s="4" t="s">
        <v>10998</v>
      </c>
    </row>
    <row r="1165">
      <c r="A1165" s="4" t="s">
        <v>10999</v>
      </c>
      <c r="B1165" s="4" t="s">
        <v>11000</v>
      </c>
    </row>
    <row r="1166">
      <c r="A1166" s="4" t="s">
        <v>11001</v>
      </c>
      <c r="B1166" s="4" t="s">
        <v>11002</v>
      </c>
    </row>
    <row r="1167">
      <c r="A1167" s="4" t="s">
        <v>11003</v>
      </c>
      <c r="B1167" s="4" t="s">
        <v>11004</v>
      </c>
    </row>
    <row r="1168">
      <c r="A1168" s="4" t="s">
        <v>11005</v>
      </c>
      <c r="B1168" s="4" t="s">
        <v>11006</v>
      </c>
    </row>
    <row r="1169">
      <c r="A1169" s="4" t="s">
        <v>11007</v>
      </c>
      <c r="B1169" s="4" t="s">
        <v>11008</v>
      </c>
    </row>
    <row r="1170">
      <c r="A1170" s="4" t="s">
        <v>11009</v>
      </c>
      <c r="B1170" s="4" t="s">
        <v>11010</v>
      </c>
    </row>
    <row r="1171">
      <c r="A1171" s="4" t="s">
        <v>11011</v>
      </c>
      <c r="B1171" s="4" t="s">
        <v>11012</v>
      </c>
    </row>
    <row r="1172">
      <c r="A1172" s="4" t="s">
        <v>11013</v>
      </c>
      <c r="B1172" s="4" t="s">
        <v>11014</v>
      </c>
    </row>
    <row r="1173">
      <c r="A1173" s="4" t="s">
        <v>11015</v>
      </c>
      <c r="B1173" s="4" t="s">
        <v>11016</v>
      </c>
    </row>
    <row r="1174">
      <c r="A1174" s="4" t="s">
        <v>11017</v>
      </c>
      <c r="B1174" s="4" t="s">
        <v>11018</v>
      </c>
    </row>
    <row r="1175">
      <c r="A1175" s="4" t="s">
        <v>11019</v>
      </c>
      <c r="B1175" s="4" t="s">
        <v>11020</v>
      </c>
    </row>
    <row r="1176">
      <c r="A1176" s="4" t="s">
        <v>11021</v>
      </c>
      <c r="B1176" s="4" t="s">
        <v>11022</v>
      </c>
    </row>
    <row r="1177">
      <c r="A1177" s="4" t="s">
        <v>11023</v>
      </c>
      <c r="B1177" s="4" t="s">
        <v>11024</v>
      </c>
    </row>
    <row r="1178">
      <c r="A1178" s="4" t="s">
        <v>11025</v>
      </c>
      <c r="B1178" s="4" t="s">
        <v>11026</v>
      </c>
    </row>
    <row r="1179">
      <c r="A1179" s="4" t="s">
        <v>11027</v>
      </c>
      <c r="B1179" s="4" t="s">
        <v>11028</v>
      </c>
    </row>
    <row r="1180">
      <c r="A1180" s="4" t="s">
        <v>11029</v>
      </c>
      <c r="B1180" s="4" t="s">
        <v>11030</v>
      </c>
    </row>
    <row r="1181">
      <c r="A1181" s="4" t="s">
        <v>11031</v>
      </c>
      <c r="B1181" s="4" t="s">
        <v>11032</v>
      </c>
    </row>
    <row r="1182">
      <c r="A1182" s="4" t="s">
        <v>11033</v>
      </c>
      <c r="B1182" s="4" t="s">
        <v>11034</v>
      </c>
    </row>
    <row r="1183">
      <c r="A1183" s="4" t="s">
        <v>11035</v>
      </c>
      <c r="B1183" s="4" t="s">
        <v>11036</v>
      </c>
    </row>
    <row r="1184">
      <c r="A1184" s="4" t="s">
        <v>11037</v>
      </c>
      <c r="B1184" s="4" t="s">
        <v>11038</v>
      </c>
    </row>
    <row r="1185">
      <c r="A1185" s="4" t="s">
        <v>11039</v>
      </c>
      <c r="B1185" s="4" t="s">
        <v>11040</v>
      </c>
    </row>
    <row r="1186">
      <c r="A1186" s="4" t="s">
        <v>11041</v>
      </c>
      <c r="B1186" s="4" t="s">
        <v>11042</v>
      </c>
    </row>
    <row r="1187">
      <c r="A1187" s="4" t="s">
        <v>11043</v>
      </c>
      <c r="B1187" s="4" t="s">
        <v>11044</v>
      </c>
    </row>
    <row r="1188">
      <c r="A1188" s="4" t="s">
        <v>11045</v>
      </c>
      <c r="B1188" s="4" t="s">
        <v>11046</v>
      </c>
    </row>
    <row r="1189">
      <c r="A1189" s="4" t="s">
        <v>11047</v>
      </c>
      <c r="B1189" s="4" t="s">
        <v>11048</v>
      </c>
    </row>
    <row r="1190">
      <c r="A1190" s="4" t="s">
        <v>11049</v>
      </c>
      <c r="B1190" s="4" t="s">
        <v>11050</v>
      </c>
    </row>
    <row r="1191">
      <c r="A1191" s="4" t="s">
        <v>11051</v>
      </c>
      <c r="B1191" s="4" t="s">
        <v>11052</v>
      </c>
    </row>
    <row r="1192">
      <c r="A1192" s="4" t="s">
        <v>11053</v>
      </c>
      <c r="B1192" s="4" t="s">
        <v>11054</v>
      </c>
    </row>
    <row r="1193">
      <c r="A1193" s="4" t="s">
        <v>11055</v>
      </c>
      <c r="B1193" s="4" t="s">
        <v>11056</v>
      </c>
    </row>
    <row r="1194">
      <c r="A1194" s="4" t="s">
        <v>11057</v>
      </c>
      <c r="B1194" s="4" t="s">
        <v>11058</v>
      </c>
    </row>
    <row r="1195">
      <c r="A1195" s="4" t="s">
        <v>11059</v>
      </c>
      <c r="B1195" s="4" t="s">
        <v>11060</v>
      </c>
    </row>
    <row r="1196">
      <c r="A1196" s="4" t="s">
        <v>11061</v>
      </c>
      <c r="B1196" s="4" t="s">
        <v>11062</v>
      </c>
    </row>
    <row r="1197">
      <c r="A1197" s="4" t="s">
        <v>11063</v>
      </c>
      <c r="B1197" s="4" t="s">
        <v>11064</v>
      </c>
    </row>
    <row r="1198">
      <c r="A1198" s="4" t="s">
        <v>11065</v>
      </c>
      <c r="B1198" s="4" t="s">
        <v>11066</v>
      </c>
    </row>
    <row r="1199">
      <c r="A1199" s="4" t="s">
        <v>11067</v>
      </c>
      <c r="B1199" s="4" t="s">
        <v>11068</v>
      </c>
    </row>
    <row r="1200">
      <c r="A1200" s="4" t="s">
        <v>11069</v>
      </c>
      <c r="B1200" s="4" t="s">
        <v>11070</v>
      </c>
    </row>
    <row r="1201">
      <c r="A1201" s="4" t="s">
        <v>11071</v>
      </c>
      <c r="B1201" s="4" t="s">
        <v>11072</v>
      </c>
    </row>
    <row r="1202">
      <c r="A1202" s="4" t="s">
        <v>11073</v>
      </c>
      <c r="B1202" s="4" t="s">
        <v>11074</v>
      </c>
    </row>
    <row r="1203">
      <c r="A1203" s="4" t="s">
        <v>11075</v>
      </c>
      <c r="B1203" s="4" t="s">
        <v>11076</v>
      </c>
    </row>
    <row r="1204">
      <c r="A1204" s="4" t="s">
        <v>11077</v>
      </c>
      <c r="B1204" s="4" t="s">
        <v>11078</v>
      </c>
    </row>
    <row r="1205">
      <c r="A1205" s="4" t="s">
        <v>11079</v>
      </c>
      <c r="B1205" s="4" t="s">
        <v>11080</v>
      </c>
    </row>
    <row r="1206">
      <c r="A1206" s="4" t="s">
        <v>11081</v>
      </c>
      <c r="B1206" s="4" t="s">
        <v>11082</v>
      </c>
    </row>
    <row r="1207">
      <c r="A1207" s="4" t="s">
        <v>11083</v>
      </c>
      <c r="B1207" s="4" t="s">
        <v>11084</v>
      </c>
    </row>
    <row r="1208">
      <c r="A1208" s="4" t="s">
        <v>11085</v>
      </c>
      <c r="B1208" s="4" t="s">
        <v>11086</v>
      </c>
    </row>
    <row r="1209">
      <c r="A1209" s="4" t="s">
        <v>11087</v>
      </c>
      <c r="B1209" s="4" t="s">
        <v>11088</v>
      </c>
    </row>
    <row r="1210">
      <c r="A1210" s="4" t="s">
        <v>11089</v>
      </c>
      <c r="B1210" s="4" t="s">
        <v>11090</v>
      </c>
    </row>
    <row r="1211">
      <c r="A1211" s="4" t="s">
        <v>11091</v>
      </c>
      <c r="B1211" s="4" t="s">
        <v>11092</v>
      </c>
    </row>
    <row r="1212">
      <c r="A1212" s="4" t="s">
        <v>11093</v>
      </c>
      <c r="B1212" s="4" t="s">
        <v>11094</v>
      </c>
    </row>
    <row r="1213">
      <c r="A1213" s="4" t="s">
        <v>11095</v>
      </c>
      <c r="B1213" s="4" t="s">
        <v>11096</v>
      </c>
    </row>
    <row r="1214">
      <c r="A1214" s="4" t="s">
        <v>11097</v>
      </c>
      <c r="B1214" s="4" t="s">
        <v>11098</v>
      </c>
    </row>
    <row r="1215">
      <c r="A1215" s="4" t="s">
        <v>11099</v>
      </c>
      <c r="B1215" s="4" t="s">
        <v>11100</v>
      </c>
    </row>
    <row r="1216">
      <c r="A1216" s="4" t="s">
        <v>11101</v>
      </c>
      <c r="B1216" s="4" t="s">
        <v>11102</v>
      </c>
    </row>
    <row r="1217">
      <c r="A1217" s="4" t="s">
        <v>11103</v>
      </c>
      <c r="B1217" s="4" t="s">
        <v>11104</v>
      </c>
    </row>
    <row r="1218">
      <c r="A1218" s="4" t="s">
        <v>11105</v>
      </c>
      <c r="B1218" s="4" t="s">
        <v>11106</v>
      </c>
    </row>
    <row r="1219">
      <c r="A1219" s="4" t="s">
        <v>11107</v>
      </c>
      <c r="B1219" s="4" t="s">
        <v>11108</v>
      </c>
    </row>
    <row r="1220">
      <c r="A1220" s="4" t="s">
        <v>11109</v>
      </c>
      <c r="B1220" s="4" t="s">
        <v>11110</v>
      </c>
    </row>
    <row r="1221">
      <c r="A1221" s="4" t="s">
        <v>11111</v>
      </c>
      <c r="B1221" s="4" t="s">
        <v>11112</v>
      </c>
    </row>
    <row r="1222">
      <c r="A1222" s="4" t="s">
        <v>11113</v>
      </c>
      <c r="B1222" s="4" t="s">
        <v>11114</v>
      </c>
    </row>
    <row r="1223">
      <c r="A1223" s="4" t="s">
        <v>11115</v>
      </c>
      <c r="B1223" s="4" t="s">
        <v>11116</v>
      </c>
    </row>
    <row r="1224">
      <c r="A1224" s="4" t="s">
        <v>11117</v>
      </c>
      <c r="B1224" s="4" t="s">
        <v>11118</v>
      </c>
    </row>
    <row r="1225">
      <c r="A1225" s="4" t="s">
        <v>11119</v>
      </c>
      <c r="B1225" s="4" t="s">
        <v>11120</v>
      </c>
    </row>
    <row r="1226">
      <c r="A1226" s="4" t="s">
        <v>11121</v>
      </c>
      <c r="B1226" s="4" t="s">
        <v>11122</v>
      </c>
    </row>
    <row r="1227">
      <c r="A1227" s="4" t="s">
        <v>11123</v>
      </c>
      <c r="B1227" s="4" t="s">
        <v>11124</v>
      </c>
    </row>
    <row r="1228">
      <c r="A1228" s="4" t="s">
        <v>11125</v>
      </c>
      <c r="B1228" s="4" t="s">
        <v>11126</v>
      </c>
    </row>
    <row r="1229">
      <c r="A1229" s="4" t="s">
        <v>11127</v>
      </c>
      <c r="B1229" s="4" t="s">
        <v>11128</v>
      </c>
    </row>
    <row r="1230">
      <c r="A1230" s="4" t="s">
        <v>11129</v>
      </c>
      <c r="B1230" s="4" t="s">
        <v>11130</v>
      </c>
    </row>
    <row r="1231">
      <c r="A1231" s="4" t="s">
        <v>11131</v>
      </c>
      <c r="B1231" s="4" t="s">
        <v>11132</v>
      </c>
    </row>
    <row r="1232">
      <c r="A1232" s="4" t="s">
        <v>11133</v>
      </c>
      <c r="B1232" s="4" t="s">
        <v>11134</v>
      </c>
    </row>
    <row r="1233">
      <c r="A1233" s="4" t="s">
        <v>11135</v>
      </c>
      <c r="B1233" s="4" t="s">
        <v>11136</v>
      </c>
    </row>
    <row r="1234">
      <c r="A1234" s="4" t="s">
        <v>11137</v>
      </c>
      <c r="B1234" s="4" t="s">
        <v>11138</v>
      </c>
    </row>
    <row r="1235">
      <c r="A1235" s="4" t="s">
        <v>11139</v>
      </c>
      <c r="B1235" s="4" t="s">
        <v>11140</v>
      </c>
    </row>
    <row r="1236">
      <c r="A1236" s="4" t="s">
        <v>11141</v>
      </c>
      <c r="B1236" s="4" t="s">
        <v>11142</v>
      </c>
    </row>
    <row r="1237">
      <c r="A1237" s="4" t="s">
        <v>11143</v>
      </c>
      <c r="B1237" s="4" t="s">
        <v>11144</v>
      </c>
    </row>
    <row r="1238">
      <c r="A1238" s="4" t="s">
        <v>11145</v>
      </c>
      <c r="B1238" s="4" t="s">
        <v>11146</v>
      </c>
    </row>
    <row r="1239">
      <c r="A1239" s="4" t="s">
        <v>11147</v>
      </c>
      <c r="B1239" s="4" t="s">
        <v>11148</v>
      </c>
    </row>
    <row r="1240">
      <c r="A1240" s="4" t="s">
        <v>11149</v>
      </c>
      <c r="B1240" s="4" t="s">
        <v>11150</v>
      </c>
    </row>
    <row r="1241">
      <c r="A1241" s="4" t="s">
        <v>11151</v>
      </c>
      <c r="B1241" s="4" t="s">
        <v>11152</v>
      </c>
    </row>
    <row r="1242">
      <c r="A1242" s="4" t="s">
        <v>11153</v>
      </c>
      <c r="B1242" s="4" t="s">
        <v>11154</v>
      </c>
    </row>
    <row r="1243">
      <c r="A1243" s="4" t="s">
        <v>11155</v>
      </c>
      <c r="B1243" s="4" t="s">
        <v>11156</v>
      </c>
    </row>
    <row r="1244">
      <c r="A1244" s="4" t="s">
        <v>11157</v>
      </c>
      <c r="B1244" s="4" t="s">
        <v>11158</v>
      </c>
    </row>
    <row r="1245">
      <c r="A1245" s="4" t="s">
        <v>11159</v>
      </c>
      <c r="B1245" s="4" t="s">
        <v>11160</v>
      </c>
    </row>
    <row r="1246">
      <c r="A1246" s="4" t="s">
        <v>11161</v>
      </c>
      <c r="B1246" s="4" t="s">
        <v>11162</v>
      </c>
    </row>
    <row r="1247">
      <c r="A1247" s="4" t="s">
        <v>11163</v>
      </c>
      <c r="B1247" s="4" t="s">
        <v>11164</v>
      </c>
    </row>
    <row r="1248">
      <c r="A1248" s="4" t="s">
        <v>11165</v>
      </c>
      <c r="B1248" s="4" t="s">
        <v>11166</v>
      </c>
    </row>
    <row r="1249">
      <c r="A1249" s="4" t="s">
        <v>11167</v>
      </c>
      <c r="B1249" s="4" t="s">
        <v>11168</v>
      </c>
    </row>
    <row r="1250">
      <c r="A1250" s="4" t="s">
        <v>11169</v>
      </c>
      <c r="B1250" s="4" t="s">
        <v>11170</v>
      </c>
    </row>
    <row r="1251">
      <c r="A1251" s="4" t="s">
        <v>11171</v>
      </c>
      <c r="B1251" s="4" t="s">
        <v>11172</v>
      </c>
    </row>
    <row r="1252">
      <c r="A1252" s="4" t="s">
        <v>11173</v>
      </c>
      <c r="B1252" s="4" t="s">
        <v>11174</v>
      </c>
    </row>
    <row r="1253">
      <c r="A1253" s="4" t="s">
        <v>11175</v>
      </c>
      <c r="B1253" s="4" t="s">
        <v>11176</v>
      </c>
    </row>
    <row r="1254">
      <c r="A1254" s="4" t="s">
        <v>11177</v>
      </c>
      <c r="B1254" s="4" t="s">
        <v>11178</v>
      </c>
    </row>
    <row r="1255">
      <c r="A1255" s="4" t="s">
        <v>11179</v>
      </c>
      <c r="B1255" s="4" t="s">
        <v>11180</v>
      </c>
    </row>
    <row r="1256">
      <c r="A1256" s="4" t="s">
        <v>11181</v>
      </c>
      <c r="B1256" s="4" t="s">
        <v>11182</v>
      </c>
    </row>
    <row r="1257">
      <c r="A1257" s="4" t="s">
        <v>11183</v>
      </c>
      <c r="B1257" s="4" t="s">
        <v>11184</v>
      </c>
    </row>
    <row r="1258">
      <c r="A1258" s="4" t="s">
        <v>11185</v>
      </c>
      <c r="B1258" s="4" t="s">
        <v>11186</v>
      </c>
    </row>
    <row r="1259">
      <c r="A1259" s="4" t="s">
        <v>11187</v>
      </c>
      <c r="B1259" s="4" t="s">
        <v>11188</v>
      </c>
    </row>
    <row r="1260">
      <c r="A1260" s="4" t="s">
        <v>11189</v>
      </c>
      <c r="B1260" s="4" t="s">
        <v>11190</v>
      </c>
    </row>
    <row r="1261">
      <c r="A1261" s="4" t="s">
        <v>11191</v>
      </c>
      <c r="B1261" s="4" t="s">
        <v>11192</v>
      </c>
    </row>
    <row r="1262">
      <c r="A1262" s="4" t="s">
        <v>11193</v>
      </c>
      <c r="B1262" s="4" t="s">
        <v>11194</v>
      </c>
    </row>
    <row r="1263">
      <c r="A1263" s="4" t="s">
        <v>11195</v>
      </c>
      <c r="B1263" s="4" t="s">
        <v>11196</v>
      </c>
    </row>
    <row r="1264">
      <c r="A1264" s="4" t="s">
        <v>11197</v>
      </c>
      <c r="B1264" s="4" t="s">
        <v>11198</v>
      </c>
    </row>
    <row r="1265">
      <c r="A1265" s="4" t="s">
        <v>11199</v>
      </c>
      <c r="B1265" s="4" t="s">
        <v>11200</v>
      </c>
    </row>
    <row r="1266">
      <c r="A1266" s="4" t="s">
        <v>11201</v>
      </c>
      <c r="B1266" s="4" t="s">
        <v>11202</v>
      </c>
    </row>
    <row r="1267">
      <c r="A1267" s="4" t="s">
        <v>11203</v>
      </c>
      <c r="B1267" s="4" t="s">
        <v>11204</v>
      </c>
    </row>
    <row r="1268">
      <c r="A1268" s="4" t="s">
        <v>11205</v>
      </c>
      <c r="B1268" s="4" t="s">
        <v>11206</v>
      </c>
    </row>
    <row r="1269">
      <c r="A1269" s="4" t="s">
        <v>11207</v>
      </c>
      <c r="B1269" s="4" t="s">
        <v>11208</v>
      </c>
    </row>
    <row r="1270">
      <c r="A1270" s="4" t="s">
        <v>11209</v>
      </c>
      <c r="B1270" s="4" t="s">
        <v>11210</v>
      </c>
    </row>
    <row r="1271">
      <c r="A1271" s="4" t="s">
        <v>11211</v>
      </c>
      <c r="B1271" s="4" t="s">
        <v>11212</v>
      </c>
    </row>
    <row r="1272">
      <c r="A1272" s="4" t="s">
        <v>11213</v>
      </c>
      <c r="B1272" s="4" t="s">
        <v>11214</v>
      </c>
    </row>
    <row r="1273">
      <c r="A1273" s="4" t="s">
        <v>11215</v>
      </c>
      <c r="B1273" s="4" t="s">
        <v>11216</v>
      </c>
    </row>
    <row r="1274">
      <c r="A1274" s="4" t="s">
        <v>11217</v>
      </c>
      <c r="B1274" s="4" t="s">
        <v>11218</v>
      </c>
    </row>
    <row r="1275">
      <c r="A1275" s="4" t="s">
        <v>11219</v>
      </c>
      <c r="B1275" s="4" t="s">
        <v>11220</v>
      </c>
    </row>
    <row r="1276">
      <c r="A1276" s="4" t="s">
        <v>11221</v>
      </c>
      <c r="B1276" s="4" t="s">
        <v>11222</v>
      </c>
    </row>
    <row r="1277">
      <c r="A1277" s="4" t="s">
        <v>11223</v>
      </c>
      <c r="B1277" s="4" t="s">
        <v>11224</v>
      </c>
    </row>
    <row r="1278">
      <c r="A1278" s="4" t="s">
        <v>11225</v>
      </c>
      <c r="B1278" s="4" t="s">
        <v>11226</v>
      </c>
    </row>
    <row r="1279">
      <c r="A1279" s="4" t="s">
        <v>11227</v>
      </c>
      <c r="B1279" s="4" t="s">
        <v>11228</v>
      </c>
    </row>
    <row r="1280">
      <c r="A1280" s="4" t="s">
        <v>11229</v>
      </c>
      <c r="B1280" s="4" t="s">
        <v>11230</v>
      </c>
    </row>
    <row r="1281">
      <c r="A1281" s="4" t="s">
        <v>11231</v>
      </c>
      <c r="B1281" s="4" t="s">
        <v>11232</v>
      </c>
    </row>
    <row r="1282">
      <c r="A1282" s="4" t="s">
        <v>11233</v>
      </c>
      <c r="B1282" s="4" t="s">
        <v>11234</v>
      </c>
    </row>
    <row r="1283">
      <c r="A1283" s="4" t="s">
        <v>11235</v>
      </c>
      <c r="B1283" s="4" t="s">
        <v>11236</v>
      </c>
    </row>
    <row r="1284">
      <c r="A1284" s="4" t="s">
        <v>11237</v>
      </c>
      <c r="B1284" s="4" t="s">
        <v>11238</v>
      </c>
    </row>
    <row r="1285">
      <c r="A1285" s="4" t="s">
        <v>11239</v>
      </c>
      <c r="B1285" s="4" t="s">
        <v>11240</v>
      </c>
    </row>
    <row r="1286">
      <c r="A1286" s="4" t="s">
        <v>11241</v>
      </c>
      <c r="B1286" s="4" t="s">
        <v>11242</v>
      </c>
    </row>
    <row r="1287">
      <c r="A1287" s="4" t="s">
        <v>11243</v>
      </c>
      <c r="B1287" s="4" t="s">
        <v>11244</v>
      </c>
    </row>
    <row r="1288">
      <c r="A1288" s="4" t="s">
        <v>11245</v>
      </c>
      <c r="B1288" s="4" t="s">
        <v>11246</v>
      </c>
    </row>
    <row r="1289">
      <c r="A1289" s="4" t="s">
        <v>11247</v>
      </c>
      <c r="B1289" s="4" t="s">
        <v>11248</v>
      </c>
    </row>
    <row r="1290">
      <c r="A1290" s="4" t="s">
        <v>11249</v>
      </c>
      <c r="B1290" s="4" t="s">
        <v>11250</v>
      </c>
    </row>
    <row r="1291">
      <c r="A1291" s="4" t="s">
        <v>11251</v>
      </c>
      <c r="B1291" s="4" t="s">
        <v>11252</v>
      </c>
    </row>
    <row r="1292">
      <c r="A1292" s="4" t="s">
        <v>11253</v>
      </c>
      <c r="B1292" s="4" t="s">
        <v>11254</v>
      </c>
    </row>
    <row r="1293">
      <c r="A1293" s="4" t="s">
        <v>11255</v>
      </c>
      <c r="B1293" s="4" t="s">
        <v>11256</v>
      </c>
    </row>
    <row r="1294">
      <c r="A1294" s="4" t="s">
        <v>11257</v>
      </c>
      <c r="B1294" s="4" t="s">
        <v>11258</v>
      </c>
    </row>
    <row r="1295">
      <c r="A1295" s="4" t="s">
        <v>11259</v>
      </c>
      <c r="B1295" s="4" t="s">
        <v>11260</v>
      </c>
    </row>
    <row r="1296">
      <c r="A1296" s="4" t="s">
        <v>11261</v>
      </c>
      <c r="B1296" s="4" t="s">
        <v>11262</v>
      </c>
    </row>
    <row r="1297">
      <c r="A1297" s="4" t="s">
        <v>11263</v>
      </c>
      <c r="B1297" s="4" t="s">
        <v>11264</v>
      </c>
    </row>
    <row r="1298">
      <c r="A1298" s="4" t="s">
        <v>11265</v>
      </c>
      <c r="B1298" s="4" t="s">
        <v>11266</v>
      </c>
    </row>
    <row r="1299">
      <c r="A1299" s="4" t="s">
        <v>11267</v>
      </c>
      <c r="B1299" s="4" t="s">
        <v>11268</v>
      </c>
    </row>
    <row r="1300">
      <c r="A1300" s="4" t="s">
        <v>11269</v>
      </c>
      <c r="B1300" s="4" t="s">
        <v>11270</v>
      </c>
    </row>
    <row r="1301">
      <c r="A1301" s="4" t="s">
        <v>11271</v>
      </c>
      <c r="B1301" s="4" t="s">
        <v>11272</v>
      </c>
    </row>
    <row r="1302">
      <c r="A1302" s="4" t="s">
        <v>11273</v>
      </c>
      <c r="B1302" s="4" t="s">
        <v>11274</v>
      </c>
    </row>
    <row r="1303">
      <c r="A1303" s="4" t="s">
        <v>11275</v>
      </c>
      <c r="B1303" s="4" t="s">
        <v>11276</v>
      </c>
    </row>
    <row r="1304">
      <c r="A1304" s="4" t="s">
        <v>11277</v>
      </c>
      <c r="B1304" s="4" t="s">
        <v>11278</v>
      </c>
    </row>
    <row r="1305">
      <c r="A1305" s="4" t="s">
        <v>11279</v>
      </c>
      <c r="B1305" s="4" t="s">
        <v>11280</v>
      </c>
    </row>
    <row r="1306">
      <c r="A1306" s="4" t="s">
        <v>11281</v>
      </c>
      <c r="B1306" s="4" t="s">
        <v>11282</v>
      </c>
    </row>
    <row r="1307">
      <c r="A1307" s="4" t="s">
        <v>11283</v>
      </c>
      <c r="B1307" s="4" t="s">
        <v>11284</v>
      </c>
    </row>
    <row r="1308">
      <c r="A1308" s="4" t="s">
        <v>11285</v>
      </c>
      <c r="B1308" s="4" t="s">
        <v>11286</v>
      </c>
    </row>
    <row r="1309">
      <c r="A1309" s="4" t="s">
        <v>11287</v>
      </c>
      <c r="B1309" s="4" t="s">
        <v>11288</v>
      </c>
    </row>
    <row r="1310">
      <c r="A1310" s="4" t="s">
        <v>11289</v>
      </c>
      <c r="B1310" s="4" t="s">
        <v>11290</v>
      </c>
    </row>
    <row r="1311">
      <c r="A1311" s="4" t="s">
        <v>11291</v>
      </c>
      <c r="B1311" s="4" t="s">
        <v>11292</v>
      </c>
    </row>
    <row r="1312">
      <c r="A1312" s="4" t="s">
        <v>11293</v>
      </c>
      <c r="B1312" s="4" t="s">
        <v>11294</v>
      </c>
    </row>
    <row r="1313">
      <c r="A1313" s="4" t="s">
        <v>11295</v>
      </c>
      <c r="B1313" s="4" t="s">
        <v>11296</v>
      </c>
    </row>
    <row r="1314">
      <c r="A1314" s="4" t="s">
        <v>11297</v>
      </c>
      <c r="B1314" s="4" t="s">
        <v>11298</v>
      </c>
    </row>
    <row r="1315">
      <c r="A1315" s="4" t="s">
        <v>11299</v>
      </c>
      <c r="B1315" s="4" t="s">
        <v>11300</v>
      </c>
    </row>
    <row r="1316">
      <c r="A1316" s="4" t="s">
        <v>11301</v>
      </c>
      <c r="B1316" s="4" t="s">
        <v>11302</v>
      </c>
    </row>
    <row r="1317">
      <c r="A1317" s="4" t="s">
        <v>11303</v>
      </c>
      <c r="B1317" s="4" t="s">
        <v>11304</v>
      </c>
    </row>
    <row r="1318">
      <c r="A1318" s="4" t="s">
        <v>11305</v>
      </c>
      <c r="B1318" s="4" t="s">
        <v>11306</v>
      </c>
    </row>
    <row r="1319">
      <c r="A1319" s="4" t="s">
        <v>11307</v>
      </c>
      <c r="B1319" s="4" t="s">
        <v>11308</v>
      </c>
    </row>
    <row r="1320">
      <c r="A1320" s="4" t="s">
        <v>11309</v>
      </c>
      <c r="B1320" s="4" t="s">
        <v>11310</v>
      </c>
    </row>
    <row r="1321">
      <c r="A1321" s="4" t="s">
        <v>11311</v>
      </c>
      <c r="B1321" s="4" t="s">
        <v>11312</v>
      </c>
    </row>
    <row r="1322">
      <c r="A1322" s="4" t="s">
        <v>11313</v>
      </c>
      <c r="B1322" s="4" t="s">
        <v>11314</v>
      </c>
    </row>
    <row r="1323">
      <c r="A1323" s="4" t="s">
        <v>11315</v>
      </c>
      <c r="B1323" s="4" t="s">
        <v>11316</v>
      </c>
    </row>
    <row r="1324">
      <c r="A1324" s="4" t="s">
        <v>11317</v>
      </c>
      <c r="B1324" s="4" t="s">
        <v>11318</v>
      </c>
    </row>
    <row r="1325">
      <c r="A1325" s="4" t="s">
        <v>11319</v>
      </c>
      <c r="B1325" s="4" t="s">
        <v>11320</v>
      </c>
    </row>
    <row r="1326">
      <c r="A1326" s="4" t="s">
        <v>11321</v>
      </c>
      <c r="B1326" s="4" t="s">
        <v>11322</v>
      </c>
    </row>
    <row r="1327">
      <c r="A1327" s="4" t="s">
        <v>11323</v>
      </c>
      <c r="B1327" s="4" t="s">
        <v>11324</v>
      </c>
    </row>
    <row r="1328">
      <c r="A1328" s="4" t="s">
        <v>11325</v>
      </c>
      <c r="B1328" s="4" t="s">
        <v>11326</v>
      </c>
    </row>
    <row r="1329">
      <c r="A1329" s="4" t="s">
        <v>11327</v>
      </c>
      <c r="B1329" s="4" t="s">
        <v>11328</v>
      </c>
    </row>
    <row r="1330">
      <c r="A1330" s="4" t="s">
        <v>11329</v>
      </c>
      <c r="B1330" s="4" t="s">
        <v>11330</v>
      </c>
    </row>
    <row r="1331">
      <c r="A1331" s="4" t="s">
        <v>11331</v>
      </c>
      <c r="B1331" s="4" t="s">
        <v>11332</v>
      </c>
    </row>
    <row r="1332">
      <c r="A1332" s="4" t="s">
        <v>11333</v>
      </c>
      <c r="B1332" s="4" t="s">
        <v>11334</v>
      </c>
    </row>
    <row r="1333">
      <c r="A1333" s="4" t="s">
        <v>11335</v>
      </c>
      <c r="B1333" s="4" t="s">
        <v>11336</v>
      </c>
    </row>
    <row r="1334">
      <c r="A1334" s="4" t="s">
        <v>11337</v>
      </c>
      <c r="B1334" s="4" t="s">
        <v>11338</v>
      </c>
    </row>
    <row r="1335">
      <c r="A1335" s="4" t="s">
        <v>11339</v>
      </c>
      <c r="B1335" s="4" t="s">
        <v>11340</v>
      </c>
    </row>
    <row r="1336">
      <c r="A1336" s="4" t="s">
        <v>11341</v>
      </c>
      <c r="B1336" s="4" t="s">
        <v>11342</v>
      </c>
    </row>
    <row r="1337">
      <c r="A1337" s="4" t="s">
        <v>11343</v>
      </c>
      <c r="B1337" s="4" t="s">
        <v>11344</v>
      </c>
    </row>
    <row r="1338">
      <c r="A1338" s="4" t="s">
        <v>11345</v>
      </c>
      <c r="B1338" s="4" t="s">
        <v>11346</v>
      </c>
    </row>
    <row r="1339">
      <c r="A1339" s="4" t="s">
        <v>11347</v>
      </c>
      <c r="B1339" s="4" t="s">
        <v>11348</v>
      </c>
    </row>
    <row r="1340">
      <c r="A1340" s="4" t="s">
        <v>11349</v>
      </c>
      <c r="B1340" s="4" t="s">
        <v>11350</v>
      </c>
    </row>
    <row r="1341">
      <c r="A1341" s="4" t="s">
        <v>11351</v>
      </c>
      <c r="B1341" s="4" t="s">
        <v>11352</v>
      </c>
    </row>
    <row r="1342">
      <c r="A1342" s="4" t="s">
        <v>11353</v>
      </c>
      <c r="B1342" s="4" t="s">
        <v>11354</v>
      </c>
    </row>
    <row r="1343">
      <c r="A1343" s="4" t="s">
        <v>11355</v>
      </c>
      <c r="B1343" s="4" t="s">
        <v>11356</v>
      </c>
    </row>
    <row r="1344">
      <c r="A1344" s="4" t="s">
        <v>11357</v>
      </c>
      <c r="B1344" s="4" t="s">
        <v>11358</v>
      </c>
    </row>
    <row r="1345">
      <c r="A1345" s="4" t="s">
        <v>11359</v>
      </c>
      <c r="B1345" s="4" t="s">
        <v>11360</v>
      </c>
    </row>
    <row r="1346">
      <c r="A1346" s="4" t="s">
        <v>11361</v>
      </c>
      <c r="B1346" s="4" t="s">
        <v>11362</v>
      </c>
    </row>
    <row r="1347">
      <c r="A1347" s="4" t="s">
        <v>11363</v>
      </c>
      <c r="B1347" s="4" t="s">
        <v>11364</v>
      </c>
    </row>
    <row r="1348">
      <c r="A1348" s="4" t="s">
        <v>11365</v>
      </c>
      <c r="B1348" s="4" t="s">
        <v>11366</v>
      </c>
    </row>
    <row r="1349">
      <c r="A1349" s="4" t="s">
        <v>11367</v>
      </c>
      <c r="B1349" s="4" t="s">
        <v>11368</v>
      </c>
    </row>
    <row r="1350">
      <c r="A1350" s="4" t="s">
        <v>11369</v>
      </c>
      <c r="B1350" s="4" t="s">
        <v>11370</v>
      </c>
    </row>
    <row r="1351">
      <c r="A1351" s="4" t="s">
        <v>11371</v>
      </c>
      <c r="B1351" s="4" t="s">
        <v>11372</v>
      </c>
    </row>
    <row r="1352">
      <c r="A1352" s="4" t="s">
        <v>11373</v>
      </c>
      <c r="B1352" s="4" t="s">
        <v>11374</v>
      </c>
    </row>
    <row r="1353">
      <c r="A1353" s="4" t="s">
        <v>11375</v>
      </c>
      <c r="B1353" s="4" t="s">
        <v>11376</v>
      </c>
    </row>
    <row r="1354">
      <c r="A1354" s="4" t="s">
        <v>11377</v>
      </c>
      <c r="B1354" s="4" t="s">
        <v>11378</v>
      </c>
    </row>
    <row r="1355">
      <c r="A1355" s="4" t="s">
        <v>11379</v>
      </c>
      <c r="B1355" s="4" t="s">
        <v>11380</v>
      </c>
    </row>
    <row r="1356">
      <c r="A1356" s="4" t="s">
        <v>11381</v>
      </c>
      <c r="B1356" s="4" t="s">
        <v>11382</v>
      </c>
    </row>
    <row r="1357">
      <c r="A1357" s="4" t="s">
        <v>11383</v>
      </c>
      <c r="B1357" s="4" t="s">
        <v>11384</v>
      </c>
    </row>
    <row r="1358">
      <c r="A1358" s="4" t="s">
        <v>11385</v>
      </c>
      <c r="B1358" s="4" t="s">
        <v>11386</v>
      </c>
    </row>
    <row r="1359">
      <c r="A1359" s="4" t="s">
        <v>11387</v>
      </c>
      <c r="B1359" s="4" t="s">
        <v>11388</v>
      </c>
    </row>
    <row r="1360">
      <c r="A1360" s="4" t="s">
        <v>11389</v>
      </c>
      <c r="B1360" s="4" t="s">
        <v>11390</v>
      </c>
    </row>
    <row r="1361">
      <c r="A1361" s="4" t="s">
        <v>11391</v>
      </c>
      <c r="B1361" s="4" t="s">
        <v>11392</v>
      </c>
    </row>
    <row r="1362">
      <c r="A1362" s="4" t="s">
        <v>11393</v>
      </c>
      <c r="B1362" s="4" t="s">
        <v>11394</v>
      </c>
    </row>
    <row r="1363">
      <c r="A1363" s="4" t="s">
        <v>11395</v>
      </c>
      <c r="B1363" s="4" t="s">
        <v>11396</v>
      </c>
    </row>
    <row r="1364">
      <c r="A1364" s="4" t="s">
        <v>11397</v>
      </c>
      <c r="B1364" s="4" t="s">
        <v>11398</v>
      </c>
    </row>
    <row r="1365">
      <c r="A1365" s="4" t="s">
        <v>11399</v>
      </c>
      <c r="B1365" s="4" t="s">
        <v>11400</v>
      </c>
    </row>
    <row r="1366">
      <c r="A1366" s="4" t="s">
        <v>11401</v>
      </c>
      <c r="B1366" s="4" t="s">
        <v>11402</v>
      </c>
    </row>
    <row r="1367">
      <c r="A1367" s="4" t="s">
        <v>11403</v>
      </c>
      <c r="B1367" s="4" t="s">
        <v>11404</v>
      </c>
    </row>
    <row r="1368">
      <c r="A1368" s="4" t="s">
        <v>11405</v>
      </c>
      <c r="B1368" s="4" t="s">
        <v>11406</v>
      </c>
    </row>
    <row r="1369">
      <c r="A1369" s="4" t="s">
        <v>11407</v>
      </c>
      <c r="B1369" s="4" t="s">
        <v>11408</v>
      </c>
    </row>
    <row r="1370">
      <c r="A1370" s="4" t="s">
        <v>11409</v>
      </c>
      <c r="B1370" s="4" t="s">
        <v>11410</v>
      </c>
    </row>
    <row r="1371">
      <c r="A1371" s="4" t="s">
        <v>11411</v>
      </c>
      <c r="B1371" s="4" t="s">
        <v>11412</v>
      </c>
    </row>
    <row r="1372">
      <c r="A1372" s="4" t="s">
        <v>11413</v>
      </c>
      <c r="B1372" s="4" t="s">
        <v>11414</v>
      </c>
    </row>
    <row r="1373">
      <c r="A1373" s="4" t="s">
        <v>11415</v>
      </c>
      <c r="B1373" s="4" t="s">
        <v>11416</v>
      </c>
    </row>
    <row r="1374">
      <c r="A1374" s="4" t="s">
        <v>11417</v>
      </c>
      <c r="B1374" s="4" t="s">
        <v>11418</v>
      </c>
    </row>
    <row r="1375">
      <c r="A1375" s="4" t="s">
        <v>11419</v>
      </c>
      <c r="B1375" s="4" t="s">
        <v>11420</v>
      </c>
    </row>
    <row r="1376">
      <c r="A1376" s="4" t="s">
        <v>11421</v>
      </c>
      <c r="B1376" s="4" t="s">
        <v>11422</v>
      </c>
    </row>
    <row r="1377">
      <c r="A1377" s="4" t="s">
        <v>11423</v>
      </c>
      <c r="B1377" s="4" t="s">
        <v>11424</v>
      </c>
    </row>
    <row r="1378">
      <c r="A1378" s="4" t="s">
        <v>11425</v>
      </c>
      <c r="B1378" s="4" t="s">
        <v>11426</v>
      </c>
    </row>
    <row r="1379">
      <c r="A1379" s="4" t="s">
        <v>11427</v>
      </c>
      <c r="B1379" s="4" t="s">
        <v>11428</v>
      </c>
    </row>
    <row r="1380">
      <c r="A1380" s="4" t="s">
        <v>11429</v>
      </c>
      <c r="B1380" s="4" t="s">
        <v>11430</v>
      </c>
    </row>
    <row r="1381">
      <c r="A1381" s="4" t="s">
        <v>11431</v>
      </c>
      <c r="B1381" s="4" t="s">
        <v>11432</v>
      </c>
    </row>
    <row r="1382">
      <c r="A1382" s="4" t="s">
        <v>11433</v>
      </c>
      <c r="B1382" s="4" t="s">
        <v>11434</v>
      </c>
    </row>
    <row r="1383">
      <c r="A1383" s="4" t="s">
        <v>11435</v>
      </c>
      <c r="B1383" s="4" t="s">
        <v>11436</v>
      </c>
    </row>
    <row r="1384">
      <c r="A1384" s="4" t="s">
        <v>11437</v>
      </c>
      <c r="B1384" s="4" t="s">
        <v>11438</v>
      </c>
    </row>
    <row r="1385">
      <c r="A1385" s="4" t="s">
        <v>11439</v>
      </c>
      <c r="B1385" s="4" t="s">
        <v>11440</v>
      </c>
    </row>
    <row r="1386">
      <c r="A1386" s="4" t="s">
        <v>11441</v>
      </c>
      <c r="B1386" s="4" t="s">
        <v>11442</v>
      </c>
    </row>
    <row r="1387">
      <c r="A1387" s="4" t="s">
        <v>11443</v>
      </c>
      <c r="B1387" s="4" t="s">
        <v>11444</v>
      </c>
    </row>
    <row r="1388">
      <c r="A1388" s="4" t="s">
        <v>11445</v>
      </c>
      <c r="B1388" s="4" t="s">
        <v>11446</v>
      </c>
    </row>
    <row r="1389">
      <c r="A1389" s="4" t="s">
        <v>11447</v>
      </c>
      <c r="B1389" s="4" t="s">
        <v>11448</v>
      </c>
    </row>
    <row r="1390">
      <c r="A1390" s="4" t="s">
        <v>11449</v>
      </c>
      <c r="B1390" s="4" t="s">
        <v>11450</v>
      </c>
    </row>
    <row r="1391">
      <c r="A1391" s="4" t="s">
        <v>11451</v>
      </c>
      <c r="B1391" s="4" t="s">
        <v>11452</v>
      </c>
    </row>
    <row r="1392">
      <c r="A1392" s="4" t="s">
        <v>11453</v>
      </c>
      <c r="B1392" s="4" t="s">
        <v>11454</v>
      </c>
    </row>
    <row r="1393">
      <c r="A1393" s="4" t="s">
        <v>11455</v>
      </c>
      <c r="B1393" s="4" t="s">
        <v>11456</v>
      </c>
    </row>
    <row r="1394">
      <c r="A1394" s="4" t="s">
        <v>11457</v>
      </c>
      <c r="B1394" s="4" t="s">
        <v>11458</v>
      </c>
    </row>
    <row r="1395">
      <c r="A1395" s="4" t="s">
        <v>11459</v>
      </c>
      <c r="B1395" s="4" t="s">
        <v>11460</v>
      </c>
    </row>
    <row r="1396">
      <c r="A1396" s="4" t="s">
        <v>11461</v>
      </c>
      <c r="B1396" s="4" t="s">
        <v>11462</v>
      </c>
    </row>
    <row r="1397">
      <c r="A1397" s="4" t="s">
        <v>11463</v>
      </c>
      <c r="B1397" s="4" t="s">
        <v>11464</v>
      </c>
    </row>
    <row r="1398">
      <c r="A1398" s="4" t="s">
        <v>11465</v>
      </c>
      <c r="B1398" s="4" t="s">
        <v>11466</v>
      </c>
    </row>
    <row r="1399">
      <c r="A1399" s="4" t="s">
        <v>11467</v>
      </c>
      <c r="B1399" s="4" t="s">
        <v>11468</v>
      </c>
    </row>
    <row r="1400">
      <c r="A1400" s="4" t="s">
        <v>11469</v>
      </c>
      <c r="B1400" s="4" t="s">
        <v>11470</v>
      </c>
    </row>
    <row r="1401">
      <c r="A1401" s="4" t="s">
        <v>11471</v>
      </c>
      <c r="B1401" s="4" t="s">
        <v>11472</v>
      </c>
    </row>
    <row r="1402">
      <c r="A1402" s="4" t="s">
        <v>11473</v>
      </c>
      <c r="B1402" s="4" t="s">
        <v>11474</v>
      </c>
    </row>
    <row r="1403">
      <c r="A1403" s="4" t="s">
        <v>11475</v>
      </c>
      <c r="B1403" s="4" t="s">
        <v>11476</v>
      </c>
    </row>
    <row r="1404">
      <c r="A1404" s="4" t="s">
        <v>11477</v>
      </c>
      <c r="B1404" s="4" t="s">
        <v>11478</v>
      </c>
    </row>
    <row r="1405">
      <c r="A1405" s="4" t="s">
        <v>11479</v>
      </c>
      <c r="B1405" s="4" t="s">
        <v>11480</v>
      </c>
    </row>
    <row r="1406">
      <c r="A1406" s="4" t="s">
        <v>11481</v>
      </c>
      <c r="B1406" s="4" t="s">
        <v>11482</v>
      </c>
    </row>
    <row r="1407">
      <c r="A1407" s="4" t="s">
        <v>11483</v>
      </c>
      <c r="B1407" s="4" t="s">
        <v>11484</v>
      </c>
    </row>
    <row r="1408">
      <c r="A1408" s="4" t="s">
        <v>11485</v>
      </c>
      <c r="B1408" s="4" t="s">
        <v>11486</v>
      </c>
    </row>
    <row r="1409">
      <c r="A1409" s="4" t="s">
        <v>11487</v>
      </c>
      <c r="B1409" s="4" t="s">
        <v>11488</v>
      </c>
    </row>
    <row r="1410">
      <c r="A1410" s="4" t="s">
        <v>11489</v>
      </c>
      <c r="B1410" s="4" t="s">
        <v>11490</v>
      </c>
    </row>
    <row r="1411">
      <c r="A1411" s="4" t="s">
        <v>11491</v>
      </c>
      <c r="B1411" s="4" t="s">
        <v>11492</v>
      </c>
    </row>
    <row r="1412">
      <c r="A1412" s="4" t="s">
        <v>11493</v>
      </c>
      <c r="B1412" s="4" t="s">
        <v>11494</v>
      </c>
    </row>
    <row r="1413">
      <c r="A1413" s="4" t="s">
        <v>11495</v>
      </c>
      <c r="B1413" s="4" t="s">
        <v>11496</v>
      </c>
    </row>
    <row r="1414">
      <c r="A1414" s="4" t="s">
        <v>11497</v>
      </c>
      <c r="B1414" s="4" t="s">
        <v>11498</v>
      </c>
    </row>
    <row r="1415">
      <c r="A1415" s="4" t="s">
        <v>11499</v>
      </c>
      <c r="B1415" s="4" t="s">
        <v>11500</v>
      </c>
    </row>
    <row r="1416">
      <c r="A1416" s="4" t="s">
        <v>11501</v>
      </c>
      <c r="B1416" s="4" t="s">
        <v>11502</v>
      </c>
    </row>
    <row r="1417">
      <c r="A1417" s="4" t="s">
        <v>11503</v>
      </c>
      <c r="B1417" s="4" t="s">
        <v>11504</v>
      </c>
    </row>
    <row r="1418">
      <c r="A1418" s="4" t="s">
        <v>11505</v>
      </c>
      <c r="B1418" s="4" t="s">
        <v>11506</v>
      </c>
    </row>
    <row r="1419">
      <c r="A1419" s="4" t="s">
        <v>11507</v>
      </c>
      <c r="B1419" s="4" t="s">
        <v>11508</v>
      </c>
    </row>
    <row r="1420">
      <c r="A1420" s="4" t="s">
        <v>11509</v>
      </c>
      <c r="B1420" s="4" t="s">
        <v>11510</v>
      </c>
    </row>
    <row r="1421">
      <c r="A1421" s="4" t="s">
        <v>11511</v>
      </c>
      <c r="B1421" s="4" t="s">
        <v>11512</v>
      </c>
    </row>
    <row r="1422">
      <c r="A1422" s="4" t="s">
        <v>11513</v>
      </c>
      <c r="B1422" s="4" t="s">
        <v>11514</v>
      </c>
    </row>
    <row r="1423">
      <c r="A1423" s="4" t="s">
        <v>11515</v>
      </c>
      <c r="B1423" s="4" t="s">
        <v>11516</v>
      </c>
    </row>
    <row r="1424">
      <c r="A1424" s="4" t="s">
        <v>11517</v>
      </c>
      <c r="B1424" s="4" t="s">
        <v>11518</v>
      </c>
    </row>
    <row r="1425">
      <c r="A1425" s="4" t="s">
        <v>11519</v>
      </c>
      <c r="B1425" s="4" t="s">
        <v>11520</v>
      </c>
    </row>
    <row r="1426">
      <c r="A1426" s="4" t="s">
        <v>11521</v>
      </c>
      <c r="B1426" s="4" t="s">
        <v>11522</v>
      </c>
    </row>
    <row r="1427">
      <c r="A1427" s="4" t="s">
        <v>11523</v>
      </c>
      <c r="B1427" s="4" t="s">
        <v>11524</v>
      </c>
    </row>
    <row r="1428">
      <c r="A1428" s="4" t="s">
        <v>11525</v>
      </c>
      <c r="B1428" s="4" t="s">
        <v>11526</v>
      </c>
    </row>
    <row r="1429">
      <c r="A1429" s="4" t="s">
        <v>11527</v>
      </c>
      <c r="B1429" s="4" t="s">
        <v>11528</v>
      </c>
    </row>
    <row r="1430">
      <c r="A1430" s="4" t="s">
        <v>11529</v>
      </c>
      <c r="B1430" s="4" t="s">
        <v>11530</v>
      </c>
    </row>
    <row r="1431">
      <c r="A1431" s="4" t="s">
        <v>11531</v>
      </c>
      <c r="B1431" s="4" t="s">
        <v>11532</v>
      </c>
    </row>
    <row r="1432">
      <c r="A1432" s="4" t="s">
        <v>11533</v>
      </c>
      <c r="B1432" s="4" t="s">
        <v>11534</v>
      </c>
    </row>
    <row r="1433">
      <c r="A1433" s="4" t="s">
        <v>11535</v>
      </c>
      <c r="B1433" s="4" t="s">
        <v>11536</v>
      </c>
    </row>
    <row r="1434">
      <c r="A1434" s="4" t="s">
        <v>11537</v>
      </c>
      <c r="B1434" s="4" t="s">
        <v>11538</v>
      </c>
    </row>
    <row r="1435">
      <c r="A1435" s="4" t="s">
        <v>11539</v>
      </c>
      <c r="B1435" s="4" t="s">
        <v>11540</v>
      </c>
    </row>
    <row r="1436">
      <c r="A1436" s="4" t="s">
        <v>11541</v>
      </c>
      <c r="B1436" s="4" t="s">
        <v>11542</v>
      </c>
    </row>
    <row r="1437">
      <c r="A1437" s="4" t="s">
        <v>11543</v>
      </c>
      <c r="B1437" s="4" t="s">
        <v>11544</v>
      </c>
    </row>
    <row r="1438">
      <c r="A1438" s="4" t="s">
        <v>11545</v>
      </c>
      <c r="B1438" s="4" t="s">
        <v>11546</v>
      </c>
    </row>
    <row r="1439">
      <c r="A1439" s="4" t="s">
        <v>11547</v>
      </c>
      <c r="B1439" s="4" t="s">
        <v>11548</v>
      </c>
    </row>
    <row r="1440">
      <c r="A1440" s="4" t="s">
        <v>11549</v>
      </c>
      <c r="B1440" s="4" t="s">
        <v>11550</v>
      </c>
    </row>
    <row r="1441">
      <c r="A1441" s="4" t="s">
        <v>11551</v>
      </c>
      <c r="B1441" s="4" t="s">
        <v>11552</v>
      </c>
    </row>
    <row r="1442">
      <c r="A1442" s="4" t="s">
        <v>11553</v>
      </c>
      <c r="B1442" s="4" t="s">
        <v>11554</v>
      </c>
    </row>
    <row r="1443">
      <c r="A1443" s="4" t="s">
        <v>11555</v>
      </c>
      <c r="B1443" s="4" t="s">
        <v>11556</v>
      </c>
    </row>
    <row r="1444">
      <c r="A1444" s="4" t="s">
        <v>11557</v>
      </c>
      <c r="B1444" s="4" t="s">
        <v>11558</v>
      </c>
    </row>
    <row r="1445">
      <c r="A1445" s="4" t="s">
        <v>11559</v>
      </c>
      <c r="B1445" s="4" t="s">
        <v>11560</v>
      </c>
    </row>
    <row r="1446">
      <c r="A1446" s="4" t="s">
        <v>11561</v>
      </c>
      <c r="B1446" s="4" t="s">
        <v>11562</v>
      </c>
    </row>
    <row r="1447">
      <c r="A1447" s="4" t="s">
        <v>11563</v>
      </c>
      <c r="B1447" s="4" t="s">
        <v>11564</v>
      </c>
    </row>
    <row r="1448">
      <c r="A1448" s="4" t="s">
        <v>11565</v>
      </c>
      <c r="B1448" s="4" t="s">
        <v>11566</v>
      </c>
    </row>
    <row r="1449">
      <c r="A1449" s="4" t="s">
        <v>11567</v>
      </c>
      <c r="B1449" s="4" t="s">
        <v>11568</v>
      </c>
    </row>
    <row r="1450">
      <c r="A1450" s="4" t="s">
        <v>11569</v>
      </c>
      <c r="B1450" s="4" t="s">
        <v>11570</v>
      </c>
    </row>
    <row r="1451">
      <c r="A1451" s="4" t="s">
        <v>11571</v>
      </c>
      <c r="B1451" s="4" t="s">
        <v>11572</v>
      </c>
    </row>
    <row r="1452">
      <c r="A1452" s="4" t="s">
        <v>11573</v>
      </c>
      <c r="B1452" s="4" t="s">
        <v>11574</v>
      </c>
    </row>
    <row r="1453">
      <c r="A1453" s="4" t="s">
        <v>11575</v>
      </c>
      <c r="B1453" s="4" t="s">
        <v>11576</v>
      </c>
    </row>
    <row r="1454">
      <c r="A1454" s="4" t="s">
        <v>11577</v>
      </c>
      <c r="B1454" s="4" t="s">
        <v>11578</v>
      </c>
    </row>
    <row r="1455">
      <c r="A1455" s="4" t="s">
        <v>11579</v>
      </c>
      <c r="B1455" s="4" t="s">
        <v>11580</v>
      </c>
    </row>
    <row r="1456">
      <c r="A1456" s="4" t="s">
        <v>11581</v>
      </c>
      <c r="B1456" s="4" t="s">
        <v>11582</v>
      </c>
    </row>
    <row r="1457">
      <c r="A1457" s="4" t="s">
        <v>11583</v>
      </c>
      <c r="B1457" s="4" t="s">
        <v>11584</v>
      </c>
    </row>
    <row r="1458">
      <c r="A1458" s="4" t="s">
        <v>11585</v>
      </c>
      <c r="B1458" s="4" t="s">
        <v>11586</v>
      </c>
    </row>
    <row r="1459">
      <c r="A1459" s="4" t="s">
        <v>11587</v>
      </c>
      <c r="B1459" s="4" t="s">
        <v>11588</v>
      </c>
    </row>
    <row r="1460">
      <c r="A1460" s="4" t="s">
        <v>11589</v>
      </c>
      <c r="B1460" s="4" t="s">
        <v>11590</v>
      </c>
    </row>
    <row r="1461">
      <c r="A1461" s="4" t="s">
        <v>11591</v>
      </c>
      <c r="B1461" s="4" t="s">
        <v>11592</v>
      </c>
    </row>
    <row r="1462">
      <c r="A1462" s="4" t="s">
        <v>11593</v>
      </c>
      <c r="B1462" s="4" t="s">
        <v>11594</v>
      </c>
    </row>
    <row r="1463">
      <c r="A1463" s="4" t="s">
        <v>11595</v>
      </c>
      <c r="B1463" s="4" t="s">
        <v>11596</v>
      </c>
    </row>
    <row r="1464">
      <c r="A1464" s="4" t="s">
        <v>11597</v>
      </c>
      <c r="B1464" s="4" t="s">
        <v>11598</v>
      </c>
    </row>
    <row r="1465">
      <c r="A1465" s="4" t="s">
        <v>11599</v>
      </c>
      <c r="B1465" s="4" t="s">
        <v>11600</v>
      </c>
    </row>
    <row r="1466">
      <c r="A1466" s="4" t="s">
        <v>11601</v>
      </c>
      <c r="B1466" s="4" t="s">
        <v>11602</v>
      </c>
    </row>
    <row r="1467">
      <c r="A1467" s="4" t="s">
        <v>11603</v>
      </c>
      <c r="B1467" s="4" t="s">
        <v>11604</v>
      </c>
    </row>
    <row r="1468">
      <c r="A1468" s="4" t="s">
        <v>11605</v>
      </c>
      <c r="B1468" s="4" t="s">
        <v>11606</v>
      </c>
    </row>
    <row r="1469">
      <c r="A1469" s="4" t="s">
        <v>11607</v>
      </c>
      <c r="B1469" s="4" t="s">
        <v>11608</v>
      </c>
    </row>
    <row r="1470">
      <c r="A1470" s="4" t="s">
        <v>11609</v>
      </c>
      <c r="B1470" s="4" t="s">
        <v>11610</v>
      </c>
    </row>
    <row r="1471">
      <c r="A1471" s="4" t="s">
        <v>11611</v>
      </c>
      <c r="B1471" s="4" t="s">
        <v>11612</v>
      </c>
    </row>
    <row r="1472">
      <c r="A1472" s="4" t="s">
        <v>11613</v>
      </c>
      <c r="B1472" s="4" t="s">
        <v>11614</v>
      </c>
    </row>
    <row r="1473">
      <c r="A1473" s="4" t="s">
        <v>11615</v>
      </c>
      <c r="B1473" s="4" t="s">
        <v>11616</v>
      </c>
    </row>
    <row r="1474">
      <c r="A1474" s="4" t="s">
        <v>11617</v>
      </c>
      <c r="B1474" s="4" t="s">
        <v>11618</v>
      </c>
    </row>
    <row r="1475">
      <c r="A1475" s="4" t="s">
        <v>11619</v>
      </c>
      <c r="B1475" s="4" t="s">
        <v>11620</v>
      </c>
    </row>
    <row r="1476">
      <c r="A1476" s="4" t="s">
        <v>11621</v>
      </c>
      <c r="B1476" s="4" t="s">
        <v>11622</v>
      </c>
    </row>
    <row r="1477">
      <c r="A1477" s="4" t="s">
        <v>11623</v>
      </c>
      <c r="B1477" s="4" t="s">
        <v>11624</v>
      </c>
    </row>
    <row r="1478">
      <c r="A1478" s="4" t="s">
        <v>11625</v>
      </c>
      <c r="B1478" s="4" t="s">
        <v>11626</v>
      </c>
    </row>
    <row r="1479">
      <c r="A1479" s="4" t="s">
        <v>11627</v>
      </c>
      <c r="B1479" s="4" t="s">
        <v>11628</v>
      </c>
    </row>
    <row r="1480">
      <c r="A1480" s="4" t="s">
        <v>11629</v>
      </c>
      <c r="B1480" s="4" t="s">
        <v>11630</v>
      </c>
    </row>
    <row r="1481">
      <c r="A1481" s="4" t="s">
        <v>11631</v>
      </c>
      <c r="B1481" s="4" t="s">
        <v>11632</v>
      </c>
    </row>
    <row r="1482">
      <c r="A1482" s="4" t="s">
        <v>11633</v>
      </c>
      <c r="B1482" s="4" t="s">
        <v>11634</v>
      </c>
    </row>
    <row r="1483">
      <c r="A1483" s="4" t="s">
        <v>11635</v>
      </c>
      <c r="B1483" s="4" t="s">
        <v>11636</v>
      </c>
    </row>
    <row r="1484">
      <c r="A1484" s="4" t="s">
        <v>11637</v>
      </c>
      <c r="B1484" s="4" t="s">
        <v>11638</v>
      </c>
    </row>
    <row r="1485">
      <c r="A1485" s="4" t="s">
        <v>11639</v>
      </c>
      <c r="B1485" s="4" t="s">
        <v>11640</v>
      </c>
    </row>
    <row r="1486">
      <c r="A1486" s="4" t="s">
        <v>11641</v>
      </c>
      <c r="B1486" s="4" t="s">
        <v>11642</v>
      </c>
    </row>
    <row r="1487">
      <c r="A1487" s="4" t="s">
        <v>11643</v>
      </c>
      <c r="B1487" s="4" t="s">
        <v>11644</v>
      </c>
    </row>
    <row r="1488">
      <c r="A1488" s="4" t="s">
        <v>11645</v>
      </c>
      <c r="B1488" s="4" t="s">
        <v>11646</v>
      </c>
    </row>
    <row r="1489">
      <c r="A1489" s="4" t="s">
        <v>11647</v>
      </c>
      <c r="B1489" s="4" t="s">
        <v>11648</v>
      </c>
    </row>
    <row r="1490">
      <c r="A1490" s="4" t="s">
        <v>11649</v>
      </c>
      <c r="B1490" s="4" t="s">
        <v>11650</v>
      </c>
    </row>
    <row r="1491">
      <c r="A1491" s="4" t="s">
        <v>11651</v>
      </c>
      <c r="B1491" s="4" t="s">
        <v>11652</v>
      </c>
    </row>
    <row r="1492">
      <c r="A1492" s="4" t="s">
        <v>11653</v>
      </c>
      <c r="B1492" s="4" t="s">
        <v>11654</v>
      </c>
    </row>
    <row r="1493">
      <c r="A1493" s="4" t="s">
        <v>11655</v>
      </c>
      <c r="B1493" s="4" t="s">
        <v>11656</v>
      </c>
    </row>
    <row r="1494">
      <c r="A1494" s="4" t="s">
        <v>11657</v>
      </c>
      <c r="B1494" s="4" t="s">
        <v>11658</v>
      </c>
    </row>
    <row r="1495">
      <c r="A1495" s="4" t="s">
        <v>11659</v>
      </c>
      <c r="B1495" s="4" t="s">
        <v>11660</v>
      </c>
    </row>
    <row r="1496">
      <c r="A1496" s="4" t="s">
        <v>11661</v>
      </c>
      <c r="B1496" s="4" t="s">
        <v>11662</v>
      </c>
    </row>
    <row r="1497">
      <c r="A1497" s="4" t="s">
        <v>11663</v>
      </c>
      <c r="B1497" s="4" t="s">
        <v>11664</v>
      </c>
    </row>
    <row r="1498">
      <c r="A1498" s="4" t="s">
        <v>11665</v>
      </c>
      <c r="B1498" s="4" t="s">
        <v>11666</v>
      </c>
    </row>
    <row r="1499">
      <c r="A1499" s="4" t="s">
        <v>11667</v>
      </c>
      <c r="B1499" s="4" t="s">
        <v>11668</v>
      </c>
    </row>
    <row r="1500">
      <c r="A1500" s="4" t="s">
        <v>11669</v>
      </c>
      <c r="B1500" s="4" t="s">
        <v>11670</v>
      </c>
    </row>
    <row r="1501">
      <c r="A1501" s="4" t="s">
        <v>11671</v>
      </c>
      <c r="B1501" s="4" t="s">
        <v>11672</v>
      </c>
    </row>
    <row r="1502">
      <c r="A1502" s="4" t="s">
        <v>11673</v>
      </c>
      <c r="B1502" s="4" t="s">
        <v>11674</v>
      </c>
    </row>
    <row r="1503">
      <c r="A1503" s="4" t="s">
        <v>11675</v>
      </c>
      <c r="B1503" s="4" t="s">
        <v>11676</v>
      </c>
    </row>
    <row r="1504">
      <c r="A1504" s="4" t="s">
        <v>11677</v>
      </c>
      <c r="B1504" s="4" t="s">
        <v>11678</v>
      </c>
    </row>
    <row r="1505">
      <c r="A1505" s="4" t="s">
        <v>11679</v>
      </c>
      <c r="B1505" s="4" t="s">
        <v>11680</v>
      </c>
    </row>
    <row r="1506">
      <c r="A1506" s="4" t="s">
        <v>11681</v>
      </c>
      <c r="B1506" s="4" t="s">
        <v>11682</v>
      </c>
    </row>
    <row r="1507">
      <c r="A1507" s="4" t="s">
        <v>11683</v>
      </c>
      <c r="B1507" s="4" t="s">
        <v>11684</v>
      </c>
    </row>
    <row r="1508">
      <c r="A1508" s="4" t="s">
        <v>11685</v>
      </c>
      <c r="B1508" s="4" t="s">
        <v>11686</v>
      </c>
    </row>
    <row r="1509">
      <c r="A1509" s="4" t="s">
        <v>11687</v>
      </c>
      <c r="B1509" s="4" t="s">
        <v>11688</v>
      </c>
    </row>
    <row r="1510">
      <c r="A1510" s="4" t="s">
        <v>11689</v>
      </c>
      <c r="B1510" s="4" t="s">
        <v>11690</v>
      </c>
    </row>
    <row r="1511">
      <c r="A1511" s="4" t="s">
        <v>11691</v>
      </c>
      <c r="B1511" s="4" t="s">
        <v>11692</v>
      </c>
    </row>
    <row r="1512">
      <c r="A1512" s="4" t="s">
        <v>11693</v>
      </c>
      <c r="B1512" s="4" t="s">
        <v>11694</v>
      </c>
    </row>
    <row r="1513">
      <c r="A1513" s="4" t="s">
        <v>11695</v>
      </c>
      <c r="B1513" s="4" t="s">
        <v>11696</v>
      </c>
    </row>
    <row r="1514">
      <c r="A1514" s="4" t="s">
        <v>11697</v>
      </c>
      <c r="B1514" s="4" t="s">
        <v>11698</v>
      </c>
    </row>
    <row r="1515">
      <c r="A1515" s="4" t="s">
        <v>11699</v>
      </c>
      <c r="B1515" s="4" t="s">
        <v>11700</v>
      </c>
    </row>
    <row r="1516">
      <c r="A1516" s="4" t="s">
        <v>11701</v>
      </c>
      <c r="B1516" s="4" t="s">
        <v>11702</v>
      </c>
    </row>
    <row r="1517">
      <c r="A1517" s="4" t="s">
        <v>11703</v>
      </c>
      <c r="B1517" s="4" t="s">
        <v>11704</v>
      </c>
    </row>
    <row r="1518">
      <c r="A1518" s="4" t="s">
        <v>11705</v>
      </c>
      <c r="B1518" s="4" t="s">
        <v>11706</v>
      </c>
    </row>
    <row r="1519">
      <c r="A1519" s="4" t="s">
        <v>11707</v>
      </c>
      <c r="B1519" s="4" t="s">
        <v>11708</v>
      </c>
    </row>
    <row r="1520">
      <c r="A1520" s="4" t="s">
        <v>11709</v>
      </c>
      <c r="B1520" s="4" t="s">
        <v>11710</v>
      </c>
    </row>
    <row r="1521">
      <c r="A1521" s="4" t="s">
        <v>11711</v>
      </c>
      <c r="B1521" s="4" t="s">
        <v>11712</v>
      </c>
    </row>
    <row r="1522">
      <c r="A1522" s="4" t="s">
        <v>11713</v>
      </c>
      <c r="B1522" s="4" t="s">
        <v>11714</v>
      </c>
    </row>
    <row r="1523">
      <c r="A1523" s="4" t="s">
        <v>11715</v>
      </c>
      <c r="B1523" s="4" t="s">
        <v>11716</v>
      </c>
    </row>
    <row r="1524">
      <c r="A1524" s="4" t="s">
        <v>11717</v>
      </c>
      <c r="B1524" s="4" t="s">
        <v>11718</v>
      </c>
    </row>
    <row r="1525">
      <c r="A1525" s="4" t="s">
        <v>11719</v>
      </c>
      <c r="B1525" s="4" t="s">
        <v>11720</v>
      </c>
    </row>
    <row r="1526">
      <c r="A1526" s="4" t="s">
        <v>11721</v>
      </c>
      <c r="B1526" s="4" t="s">
        <v>11722</v>
      </c>
    </row>
    <row r="1527">
      <c r="A1527" s="4" t="s">
        <v>11723</v>
      </c>
      <c r="B1527" s="4" t="s">
        <v>11724</v>
      </c>
    </row>
    <row r="1528">
      <c r="A1528" s="4" t="s">
        <v>11725</v>
      </c>
      <c r="B1528" s="4" t="s">
        <v>11726</v>
      </c>
    </row>
    <row r="1529">
      <c r="A1529" s="4" t="s">
        <v>11727</v>
      </c>
      <c r="B1529" s="4" t="s">
        <v>11728</v>
      </c>
    </row>
    <row r="1530">
      <c r="A1530" s="4" t="s">
        <v>11729</v>
      </c>
      <c r="B1530" s="4" t="s">
        <v>11730</v>
      </c>
    </row>
    <row r="1531">
      <c r="A1531" s="4" t="s">
        <v>11731</v>
      </c>
      <c r="B1531" s="4" t="s">
        <v>11732</v>
      </c>
    </row>
    <row r="1532">
      <c r="A1532" s="4" t="s">
        <v>11733</v>
      </c>
      <c r="B1532" s="4" t="s">
        <v>11734</v>
      </c>
    </row>
    <row r="1533">
      <c r="A1533" s="4" t="s">
        <v>11735</v>
      </c>
      <c r="B1533" s="4" t="s">
        <v>11736</v>
      </c>
    </row>
    <row r="1534">
      <c r="A1534" s="4" t="s">
        <v>11737</v>
      </c>
      <c r="B1534" s="4" t="s">
        <v>11738</v>
      </c>
    </row>
    <row r="1535">
      <c r="A1535" s="4" t="s">
        <v>11739</v>
      </c>
      <c r="B1535" s="4" t="s">
        <v>11740</v>
      </c>
    </row>
    <row r="1536">
      <c r="A1536" s="4" t="s">
        <v>11741</v>
      </c>
      <c r="B1536" s="4" t="s">
        <v>11742</v>
      </c>
    </row>
    <row r="1537">
      <c r="A1537" s="4" t="s">
        <v>11743</v>
      </c>
      <c r="B1537" s="4" t="s">
        <v>11744</v>
      </c>
    </row>
    <row r="1538">
      <c r="A1538" s="4" t="s">
        <v>11745</v>
      </c>
      <c r="B1538" s="4" t="s">
        <v>11746</v>
      </c>
    </row>
    <row r="1539">
      <c r="A1539" s="4" t="s">
        <v>11747</v>
      </c>
      <c r="B1539" s="4" t="s">
        <v>11748</v>
      </c>
    </row>
    <row r="1540">
      <c r="A1540" s="4" t="s">
        <v>11749</v>
      </c>
      <c r="B1540" s="4" t="s">
        <v>11750</v>
      </c>
    </row>
    <row r="1541">
      <c r="A1541" s="4" t="s">
        <v>11751</v>
      </c>
      <c r="B1541" s="4" t="s">
        <v>11752</v>
      </c>
    </row>
    <row r="1542">
      <c r="A1542" s="4" t="s">
        <v>11753</v>
      </c>
      <c r="B1542" s="4" t="s">
        <v>11754</v>
      </c>
    </row>
    <row r="1543">
      <c r="A1543" s="4" t="s">
        <v>11755</v>
      </c>
      <c r="B1543" s="4" t="s">
        <v>11756</v>
      </c>
    </row>
    <row r="1544">
      <c r="A1544" s="4" t="s">
        <v>11757</v>
      </c>
      <c r="B1544" s="4" t="s">
        <v>11758</v>
      </c>
    </row>
    <row r="1545">
      <c r="A1545" s="4" t="s">
        <v>11759</v>
      </c>
      <c r="B1545" s="4" t="s">
        <v>11760</v>
      </c>
    </row>
    <row r="1546">
      <c r="A1546" s="4" t="s">
        <v>11761</v>
      </c>
      <c r="B1546" s="4" t="s">
        <v>11762</v>
      </c>
    </row>
    <row r="1547">
      <c r="A1547" s="4" t="s">
        <v>11763</v>
      </c>
      <c r="B1547" s="4" t="s">
        <v>11764</v>
      </c>
    </row>
    <row r="1548">
      <c r="A1548" s="4" t="s">
        <v>11765</v>
      </c>
      <c r="B1548" s="4" t="s">
        <v>11766</v>
      </c>
    </row>
    <row r="1549">
      <c r="A1549" s="4" t="s">
        <v>11767</v>
      </c>
      <c r="B1549" s="4" t="s">
        <v>11768</v>
      </c>
    </row>
    <row r="1550">
      <c r="A1550" s="4" t="s">
        <v>11769</v>
      </c>
      <c r="B1550" s="4" t="s">
        <v>11770</v>
      </c>
    </row>
    <row r="1551">
      <c r="A1551" s="4" t="s">
        <v>11771</v>
      </c>
      <c r="B1551" s="4" t="s">
        <v>11772</v>
      </c>
    </row>
    <row r="1552">
      <c r="A1552" s="4" t="s">
        <v>11773</v>
      </c>
      <c r="B1552" s="4" t="s">
        <v>11774</v>
      </c>
    </row>
    <row r="1553">
      <c r="A1553" s="4" t="s">
        <v>11775</v>
      </c>
      <c r="B1553" s="4" t="s">
        <v>11776</v>
      </c>
    </row>
    <row r="1554">
      <c r="A1554" s="4" t="s">
        <v>11777</v>
      </c>
      <c r="B1554" s="4" t="s">
        <v>11778</v>
      </c>
    </row>
    <row r="1555">
      <c r="A1555" s="4" t="s">
        <v>11779</v>
      </c>
      <c r="B1555" s="4" t="s">
        <v>11780</v>
      </c>
    </row>
    <row r="1556">
      <c r="A1556" s="4" t="s">
        <v>11781</v>
      </c>
      <c r="B1556" s="4" t="s">
        <v>11782</v>
      </c>
    </row>
    <row r="1557">
      <c r="A1557" s="4" t="s">
        <v>11783</v>
      </c>
      <c r="B1557" s="4" t="s">
        <v>11784</v>
      </c>
    </row>
    <row r="1558">
      <c r="A1558" s="4" t="s">
        <v>11785</v>
      </c>
      <c r="B1558" s="4" t="s">
        <v>11786</v>
      </c>
    </row>
    <row r="1559">
      <c r="A1559" s="4" t="s">
        <v>11787</v>
      </c>
      <c r="B1559" s="4" t="s">
        <v>11788</v>
      </c>
    </row>
    <row r="1560">
      <c r="A1560" s="4" t="s">
        <v>11789</v>
      </c>
      <c r="B1560" s="4" t="s">
        <v>11790</v>
      </c>
    </row>
    <row r="1561">
      <c r="A1561" s="4" t="s">
        <v>11791</v>
      </c>
      <c r="B1561" s="4" t="s">
        <v>11792</v>
      </c>
    </row>
    <row r="1562">
      <c r="A1562" s="4" t="s">
        <v>11793</v>
      </c>
      <c r="B1562" s="4" t="s">
        <v>11794</v>
      </c>
    </row>
    <row r="1563">
      <c r="A1563" s="4" t="s">
        <v>11795</v>
      </c>
      <c r="B1563" s="4" t="s">
        <v>11796</v>
      </c>
    </row>
    <row r="1564">
      <c r="A1564" s="4" t="s">
        <v>11797</v>
      </c>
      <c r="B1564" s="4" t="s">
        <v>11798</v>
      </c>
    </row>
    <row r="1565">
      <c r="A1565" s="4" t="s">
        <v>11799</v>
      </c>
      <c r="B1565" s="4" t="s">
        <v>11800</v>
      </c>
    </row>
    <row r="1566">
      <c r="A1566" s="4" t="s">
        <v>11801</v>
      </c>
      <c r="B1566" s="4" t="s">
        <v>11802</v>
      </c>
    </row>
    <row r="1567">
      <c r="A1567" s="4" t="s">
        <v>11803</v>
      </c>
      <c r="B1567" s="4" t="s">
        <v>11804</v>
      </c>
    </row>
    <row r="1568">
      <c r="A1568" s="4" t="s">
        <v>11805</v>
      </c>
      <c r="B1568" s="4" t="s">
        <v>11806</v>
      </c>
    </row>
    <row r="1569">
      <c r="A1569" s="4" t="s">
        <v>11807</v>
      </c>
      <c r="B1569" s="4" t="s">
        <v>11808</v>
      </c>
    </row>
    <row r="1570">
      <c r="A1570" s="4" t="s">
        <v>11809</v>
      </c>
      <c r="B1570" s="4" t="s">
        <v>11810</v>
      </c>
    </row>
    <row r="1571">
      <c r="A1571" s="4" t="s">
        <v>11811</v>
      </c>
      <c r="B1571" s="4" t="s">
        <v>11812</v>
      </c>
    </row>
    <row r="1572">
      <c r="A1572" s="4" t="s">
        <v>11813</v>
      </c>
      <c r="B1572" s="4" t="s">
        <v>11814</v>
      </c>
    </row>
    <row r="1573">
      <c r="A1573" s="4" t="s">
        <v>11815</v>
      </c>
      <c r="B1573" s="4" t="s">
        <v>11816</v>
      </c>
    </row>
    <row r="1574">
      <c r="A1574" s="4" t="s">
        <v>11817</v>
      </c>
      <c r="B1574" s="4" t="s">
        <v>11818</v>
      </c>
    </row>
    <row r="1575">
      <c r="A1575" s="4" t="s">
        <v>11819</v>
      </c>
      <c r="B1575" s="4" t="s">
        <v>11820</v>
      </c>
    </row>
    <row r="1576">
      <c r="A1576" s="4" t="s">
        <v>11821</v>
      </c>
      <c r="B1576" s="4" t="s">
        <v>11822</v>
      </c>
    </row>
    <row r="1577">
      <c r="A1577" s="4" t="s">
        <v>11823</v>
      </c>
      <c r="B1577" s="4" t="s">
        <v>11824</v>
      </c>
    </row>
    <row r="1578">
      <c r="A1578" s="4" t="s">
        <v>11825</v>
      </c>
      <c r="B1578" s="4" t="s">
        <v>11826</v>
      </c>
    </row>
    <row r="1579">
      <c r="A1579" s="4" t="s">
        <v>11827</v>
      </c>
      <c r="B1579" s="4" t="s">
        <v>11828</v>
      </c>
    </row>
    <row r="1580">
      <c r="A1580" s="4" t="s">
        <v>11829</v>
      </c>
      <c r="B1580" s="4" t="s">
        <v>11830</v>
      </c>
    </row>
    <row r="1581">
      <c r="A1581" s="4" t="s">
        <v>11831</v>
      </c>
      <c r="B1581" s="4" t="s">
        <v>11832</v>
      </c>
    </row>
    <row r="1582">
      <c r="A1582" s="4" t="s">
        <v>11833</v>
      </c>
      <c r="B1582" s="4" t="s">
        <v>11834</v>
      </c>
    </row>
    <row r="1583">
      <c r="A1583" s="4" t="s">
        <v>11835</v>
      </c>
      <c r="B1583" s="4" t="s">
        <v>11836</v>
      </c>
    </row>
    <row r="1584">
      <c r="A1584" s="4" t="s">
        <v>11837</v>
      </c>
      <c r="B1584" s="4" t="s">
        <v>11838</v>
      </c>
    </row>
    <row r="1585">
      <c r="A1585" s="4" t="s">
        <v>11839</v>
      </c>
      <c r="B1585" s="4" t="s">
        <v>11840</v>
      </c>
    </row>
    <row r="1586">
      <c r="A1586" s="4" t="s">
        <v>11841</v>
      </c>
      <c r="B1586" s="4" t="s">
        <v>11842</v>
      </c>
    </row>
    <row r="1587">
      <c r="A1587" s="4" t="s">
        <v>11843</v>
      </c>
      <c r="B1587" s="4" t="s">
        <v>11844</v>
      </c>
    </row>
    <row r="1588">
      <c r="A1588" s="4" t="s">
        <v>11845</v>
      </c>
      <c r="B1588" s="4" t="s">
        <v>11846</v>
      </c>
    </row>
    <row r="1589">
      <c r="A1589" s="4" t="s">
        <v>11847</v>
      </c>
      <c r="B1589" s="4" t="s">
        <v>11848</v>
      </c>
    </row>
    <row r="1590">
      <c r="A1590" s="4" t="s">
        <v>11849</v>
      </c>
      <c r="B1590" s="4" t="s">
        <v>11850</v>
      </c>
    </row>
    <row r="1591">
      <c r="A1591" s="4" t="s">
        <v>11851</v>
      </c>
      <c r="B1591" s="4" t="s">
        <v>11852</v>
      </c>
    </row>
    <row r="1592">
      <c r="A1592" s="4" t="s">
        <v>11853</v>
      </c>
      <c r="B1592" s="4" t="s">
        <v>11854</v>
      </c>
    </row>
    <row r="1593">
      <c r="A1593" s="4" t="s">
        <v>11855</v>
      </c>
      <c r="B1593" s="4" t="s">
        <v>11856</v>
      </c>
    </row>
    <row r="1594">
      <c r="A1594" s="4" t="s">
        <v>11857</v>
      </c>
      <c r="B1594" s="4" t="s">
        <v>11856</v>
      </c>
    </row>
    <row r="1595">
      <c r="A1595" s="4" t="s">
        <v>11858</v>
      </c>
      <c r="B1595" s="4" t="s">
        <v>11859</v>
      </c>
    </row>
    <row r="1596">
      <c r="A1596" s="4" t="s">
        <v>11860</v>
      </c>
      <c r="B1596" s="4" t="s">
        <v>11861</v>
      </c>
    </row>
    <row r="1597">
      <c r="A1597" s="4" t="s">
        <v>11862</v>
      </c>
      <c r="B1597" s="4" t="s">
        <v>11863</v>
      </c>
    </row>
    <row r="1598">
      <c r="A1598" s="4" t="s">
        <v>11864</v>
      </c>
      <c r="B1598" s="4" t="s">
        <v>11865</v>
      </c>
    </row>
    <row r="1599">
      <c r="A1599" s="4" t="s">
        <v>11866</v>
      </c>
      <c r="B1599" s="4" t="s">
        <v>11867</v>
      </c>
    </row>
    <row r="1600">
      <c r="A1600" s="4" t="s">
        <v>11868</v>
      </c>
      <c r="B1600" s="4" t="s">
        <v>11869</v>
      </c>
    </row>
    <row r="1601">
      <c r="A1601" s="4" t="s">
        <v>11870</v>
      </c>
      <c r="B1601" s="4" t="s">
        <v>11871</v>
      </c>
    </row>
    <row r="1602">
      <c r="A1602" s="4" t="s">
        <v>11872</v>
      </c>
      <c r="B1602" s="4" t="s">
        <v>11873</v>
      </c>
    </row>
    <row r="1603">
      <c r="A1603" s="4" t="s">
        <v>11874</v>
      </c>
      <c r="B1603" s="4" t="s">
        <v>11875</v>
      </c>
    </row>
    <row r="1604">
      <c r="A1604" s="4" t="s">
        <v>11876</v>
      </c>
      <c r="B1604" s="4" t="s">
        <v>11877</v>
      </c>
    </row>
    <row r="1605">
      <c r="A1605" s="4" t="s">
        <v>11878</v>
      </c>
      <c r="B1605" s="4" t="s">
        <v>11879</v>
      </c>
    </row>
    <row r="1606">
      <c r="A1606" s="4" t="s">
        <v>11880</v>
      </c>
      <c r="B1606" s="4" t="s">
        <v>11881</v>
      </c>
    </row>
    <row r="1607">
      <c r="A1607" s="4" t="s">
        <v>11882</v>
      </c>
      <c r="B1607" s="4" t="s">
        <v>11883</v>
      </c>
    </row>
    <row r="1608">
      <c r="A1608" s="4" t="s">
        <v>11884</v>
      </c>
      <c r="B1608" s="4" t="s">
        <v>11885</v>
      </c>
    </row>
    <row r="1609">
      <c r="A1609" s="4" t="s">
        <v>11886</v>
      </c>
      <c r="B1609" s="4" t="s">
        <v>11887</v>
      </c>
    </row>
    <row r="1610">
      <c r="A1610" s="4" t="s">
        <v>11888</v>
      </c>
      <c r="B1610" s="4" t="s">
        <v>11889</v>
      </c>
    </row>
    <row r="1611">
      <c r="A1611" s="4" t="s">
        <v>11890</v>
      </c>
      <c r="B1611" s="4" t="s">
        <v>11891</v>
      </c>
    </row>
    <row r="1612">
      <c r="A1612" s="4" t="s">
        <v>11892</v>
      </c>
      <c r="B1612" s="4" t="s">
        <v>11893</v>
      </c>
    </row>
    <row r="1613">
      <c r="A1613" s="4" t="s">
        <v>11894</v>
      </c>
      <c r="B1613" s="4" t="s">
        <v>11895</v>
      </c>
    </row>
    <row r="1614">
      <c r="A1614" s="4" t="s">
        <v>11896</v>
      </c>
      <c r="B1614" s="4" t="s">
        <v>11897</v>
      </c>
    </row>
    <row r="1615">
      <c r="A1615" s="4" t="s">
        <v>11898</v>
      </c>
      <c r="B1615" s="4" t="s">
        <v>11899</v>
      </c>
    </row>
    <row r="1616">
      <c r="A1616" s="4" t="s">
        <v>11900</v>
      </c>
      <c r="B1616" s="4" t="s">
        <v>11901</v>
      </c>
    </row>
    <row r="1617">
      <c r="A1617" s="4" t="s">
        <v>11902</v>
      </c>
      <c r="B1617" s="4" t="s">
        <v>11903</v>
      </c>
    </row>
    <row r="1618">
      <c r="A1618" s="4" t="s">
        <v>11904</v>
      </c>
      <c r="B1618" s="4" t="s">
        <v>11905</v>
      </c>
    </row>
    <row r="1619">
      <c r="A1619" s="4" t="s">
        <v>11906</v>
      </c>
      <c r="B1619" s="4" t="s">
        <v>11907</v>
      </c>
    </row>
    <row r="1620">
      <c r="A1620" s="4" t="s">
        <v>11908</v>
      </c>
      <c r="B1620" s="4" t="s">
        <v>11909</v>
      </c>
    </row>
    <row r="1621">
      <c r="A1621" s="4" t="s">
        <v>11910</v>
      </c>
      <c r="B1621" s="4" t="s">
        <v>11911</v>
      </c>
    </row>
    <row r="1622">
      <c r="A1622" s="4" t="s">
        <v>11912</v>
      </c>
      <c r="B1622" s="4" t="s">
        <v>11913</v>
      </c>
    </row>
    <row r="1623">
      <c r="A1623" s="4" t="s">
        <v>11914</v>
      </c>
      <c r="B1623" s="4" t="s">
        <v>11915</v>
      </c>
    </row>
    <row r="1624">
      <c r="A1624" s="4" t="s">
        <v>11916</v>
      </c>
      <c r="B1624" s="4" t="s">
        <v>11917</v>
      </c>
    </row>
    <row r="1625">
      <c r="A1625" s="4" t="s">
        <v>11918</v>
      </c>
      <c r="B1625" s="4" t="s">
        <v>11919</v>
      </c>
    </row>
    <row r="1626">
      <c r="A1626" s="4" t="s">
        <v>11920</v>
      </c>
      <c r="B1626" s="4" t="s">
        <v>11921</v>
      </c>
    </row>
    <row r="1627">
      <c r="A1627" s="4" t="s">
        <v>11922</v>
      </c>
      <c r="B1627" s="4" t="s">
        <v>11923</v>
      </c>
    </row>
    <row r="1628">
      <c r="A1628" s="4" t="s">
        <v>11924</v>
      </c>
      <c r="B1628" s="4" t="s">
        <v>11925</v>
      </c>
    </row>
    <row r="1629">
      <c r="A1629" s="4" t="s">
        <v>11926</v>
      </c>
      <c r="B1629" s="4" t="s">
        <v>11927</v>
      </c>
    </row>
    <row r="1630">
      <c r="A1630" s="4" t="s">
        <v>11928</v>
      </c>
      <c r="B1630" s="4" t="s">
        <v>11929</v>
      </c>
    </row>
    <row r="1631">
      <c r="A1631" s="4" t="s">
        <v>11930</v>
      </c>
      <c r="B1631" s="4" t="s">
        <v>11931</v>
      </c>
    </row>
    <row r="1632">
      <c r="A1632" s="4" t="s">
        <v>11932</v>
      </c>
      <c r="B1632" s="4" t="s">
        <v>11933</v>
      </c>
    </row>
    <row r="1633">
      <c r="A1633" s="4" t="s">
        <v>11934</v>
      </c>
      <c r="B1633" s="4" t="s">
        <v>11935</v>
      </c>
    </row>
    <row r="1634">
      <c r="A1634" s="4" t="s">
        <v>11936</v>
      </c>
      <c r="B1634" s="4" t="s">
        <v>11937</v>
      </c>
    </row>
    <row r="1635">
      <c r="A1635" s="4" t="s">
        <v>11938</v>
      </c>
      <c r="B1635" s="4" t="s">
        <v>11939</v>
      </c>
    </row>
    <row r="1636">
      <c r="A1636" s="4" t="s">
        <v>11940</v>
      </c>
      <c r="B1636" s="4" t="s">
        <v>11941</v>
      </c>
    </row>
    <row r="1637">
      <c r="A1637" s="4" t="s">
        <v>11942</v>
      </c>
      <c r="B1637" s="4" t="s">
        <v>11943</v>
      </c>
    </row>
    <row r="1638">
      <c r="A1638" s="4" t="s">
        <v>11944</v>
      </c>
      <c r="B1638" s="4" t="s">
        <v>11945</v>
      </c>
    </row>
    <row r="1639">
      <c r="A1639" s="4" t="s">
        <v>11946</v>
      </c>
      <c r="B1639" s="4" t="s">
        <v>11947</v>
      </c>
    </row>
    <row r="1640">
      <c r="A1640" s="4" t="s">
        <v>11948</v>
      </c>
      <c r="B1640" s="4" t="s">
        <v>11949</v>
      </c>
    </row>
    <row r="1641">
      <c r="A1641" s="4" t="s">
        <v>11950</v>
      </c>
      <c r="B1641" s="4" t="s">
        <v>11951</v>
      </c>
    </row>
    <row r="1642">
      <c r="A1642" s="4" t="s">
        <v>11952</v>
      </c>
      <c r="B1642" s="4" t="s">
        <v>11953</v>
      </c>
    </row>
    <row r="1643">
      <c r="A1643" s="4" t="s">
        <v>11954</v>
      </c>
      <c r="B1643" s="4" t="s">
        <v>11955</v>
      </c>
    </row>
    <row r="1644">
      <c r="A1644" s="4" t="s">
        <v>11956</v>
      </c>
      <c r="B1644" s="4" t="s">
        <v>11957</v>
      </c>
    </row>
    <row r="1645">
      <c r="A1645" s="4" t="s">
        <v>11958</v>
      </c>
      <c r="B1645" s="4" t="s">
        <v>11959</v>
      </c>
    </row>
    <row r="1646">
      <c r="A1646" s="4" t="s">
        <v>11960</v>
      </c>
      <c r="B1646" s="4" t="s">
        <v>11961</v>
      </c>
    </row>
    <row r="1647">
      <c r="A1647" s="4" t="s">
        <v>11962</v>
      </c>
      <c r="B1647" s="4" t="s">
        <v>11963</v>
      </c>
    </row>
    <row r="1648">
      <c r="A1648" s="4" t="s">
        <v>11964</v>
      </c>
      <c r="B1648" s="4" t="s">
        <v>11965</v>
      </c>
    </row>
    <row r="1649">
      <c r="A1649" s="4" t="s">
        <v>11966</v>
      </c>
      <c r="B1649" s="4" t="s">
        <v>11967</v>
      </c>
    </row>
    <row r="1650">
      <c r="A1650" s="4" t="s">
        <v>11968</v>
      </c>
      <c r="B1650" s="4" t="s">
        <v>11969</v>
      </c>
    </row>
    <row r="1651">
      <c r="A1651" s="4" t="s">
        <v>11970</v>
      </c>
      <c r="B1651" s="4" t="s">
        <v>11971</v>
      </c>
    </row>
    <row r="1652">
      <c r="A1652" s="4" t="s">
        <v>11972</v>
      </c>
      <c r="B1652" s="4" t="s">
        <v>11973</v>
      </c>
    </row>
    <row r="1653">
      <c r="A1653" s="4" t="s">
        <v>11974</v>
      </c>
      <c r="B1653" s="4" t="s">
        <v>11975</v>
      </c>
    </row>
    <row r="1654">
      <c r="A1654" s="4" t="s">
        <v>11976</v>
      </c>
      <c r="B1654" s="4" t="s">
        <v>11977</v>
      </c>
    </row>
    <row r="1655">
      <c r="A1655" s="4" t="s">
        <v>11978</v>
      </c>
      <c r="B1655" s="4" t="s">
        <v>11979</v>
      </c>
    </row>
    <row r="1656">
      <c r="A1656" s="4" t="s">
        <v>11980</v>
      </c>
      <c r="B1656" s="4" t="s">
        <v>11981</v>
      </c>
    </row>
    <row r="1657">
      <c r="A1657" s="4" t="s">
        <v>11982</v>
      </c>
      <c r="B1657" s="4" t="s">
        <v>11983</v>
      </c>
    </row>
    <row r="1658">
      <c r="A1658" s="4" t="s">
        <v>11984</v>
      </c>
      <c r="B1658" s="4" t="s">
        <v>11985</v>
      </c>
    </row>
    <row r="1659">
      <c r="A1659" s="4" t="s">
        <v>11986</v>
      </c>
      <c r="B1659" s="4" t="s">
        <v>11987</v>
      </c>
    </row>
    <row r="1660">
      <c r="A1660" s="4" t="s">
        <v>11988</v>
      </c>
      <c r="B1660" s="4" t="s">
        <v>11989</v>
      </c>
    </row>
    <row r="1661">
      <c r="A1661" s="4" t="s">
        <v>11990</v>
      </c>
      <c r="B1661" s="4" t="s">
        <v>11991</v>
      </c>
    </row>
    <row r="1662">
      <c r="A1662" s="4" t="s">
        <v>11992</v>
      </c>
      <c r="B1662" s="4" t="s">
        <v>11993</v>
      </c>
    </row>
    <row r="1663">
      <c r="A1663" s="4" t="s">
        <v>11994</v>
      </c>
      <c r="B1663" s="4" t="s">
        <v>11995</v>
      </c>
    </row>
    <row r="1664">
      <c r="A1664" s="4" t="s">
        <v>11996</v>
      </c>
      <c r="B1664" s="4" t="s">
        <v>11997</v>
      </c>
    </row>
    <row r="1665">
      <c r="A1665" s="4" t="s">
        <v>11998</v>
      </c>
      <c r="B1665" s="4" t="s">
        <v>11999</v>
      </c>
    </row>
    <row r="1666">
      <c r="A1666" s="4" t="s">
        <v>12000</v>
      </c>
      <c r="B1666" s="4" t="s">
        <v>12001</v>
      </c>
    </row>
    <row r="1667">
      <c r="A1667" s="4" t="s">
        <v>12002</v>
      </c>
      <c r="B1667" s="4" t="s">
        <v>12003</v>
      </c>
    </row>
    <row r="1668">
      <c r="A1668" s="4" t="s">
        <v>12004</v>
      </c>
      <c r="B1668" s="4" t="s">
        <v>12005</v>
      </c>
    </row>
    <row r="1669">
      <c r="A1669" s="4" t="s">
        <v>12006</v>
      </c>
      <c r="B1669" s="4" t="s">
        <v>12007</v>
      </c>
    </row>
    <row r="1670">
      <c r="A1670" s="4" t="s">
        <v>12008</v>
      </c>
      <c r="B1670" s="4" t="s">
        <v>12009</v>
      </c>
    </row>
    <row r="1671">
      <c r="A1671" s="4" t="s">
        <v>12010</v>
      </c>
      <c r="B1671" s="4" t="s">
        <v>12011</v>
      </c>
    </row>
    <row r="1672">
      <c r="A1672" s="4" t="s">
        <v>12012</v>
      </c>
      <c r="B1672" s="4" t="s">
        <v>12013</v>
      </c>
    </row>
    <row r="1673">
      <c r="A1673" s="4" t="s">
        <v>12014</v>
      </c>
      <c r="B1673" s="4" t="s">
        <v>12015</v>
      </c>
    </row>
    <row r="1674">
      <c r="A1674" s="4" t="s">
        <v>12016</v>
      </c>
      <c r="B1674" s="4" t="s">
        <v>12017</v>
      </c>
    </row>
    <row r="1675">
      <c r="A1675" s="4" t="s">
        <v>12018</v>
      </c>
      <c r="B1675" s="4" t="s">
        <v>12019</v>
      </c>
    </row>
    <row r="1676">
      <c r="A1676" s="4" t="s">
        <v>12020</v>
      </c>
      <c r="B1676" s="4" t="s">
        <v>12021</v>
      </c>
    </row>
    <row r="1677">
      <c r="A1677" s="4" t="s">
        <v>12022</v>
      </c>
      <c r="B1677" s="4" t="s">
        <v>12023</v>
      </c>
    </row>
    <row r="1678">
      <c r="A1678" s="4" t="s">
        <v>12024</v>
      </c>
      <c r="B1678" s="4" t="s">
        <v>12025</v>
      </c>
    </row>
    <row r="1679">
      <c r="A1679" s="4" t="s">
        <v>12026</v>
      </c>
      <c r="B1679" s="4" t="s">
        <v>12027</v>
      </c>
    </row>
    <row r="1680">
      <c r="A1680" s="4" t="s">
        <v>12028</v>
      </c>
      <c r="B1680" s="4" t="s">
        <v>12029</v>
      </c>
    </row>
    <row r="1681">
      <c r="A1681" s="4" t="s">
        <v>12030</v>
      </c>
      <c r="B1681" s="4" t="s">
        <v>12031</v>
      </c>
    </row>
    <row r="1682">
      <c r="A1682" s="4" t="s">
        <v>12032</v>
      </c>
      <c r="B1682" s="4" t="s">
        <v>12033</v>
      </c>
    </row>
    <row r="1683">
      <c r="A1683" s="4" t="s">
        <v>12034</v>
      </c>
      <c r="B1683" s="4" t="s">
        <v>12035</v>
      </c>
    </row>
    <row r="1684">
      <c r="A1684" s="4" t="s">
        <v>12036</v>
      </c>
      <c r="B1684" s="4" t="s">
        <v>12037</v>
      </c>
    </row>
    <row r="1685">
      <c r="A1685" s="4" t="s">
        <v>12038</v>
      </c>
      <c r="B1685" s="4" t="s">
        <v>12039</v>
      </c>
    </row>
    <row r="1686">
      <c r="A1686" s="4" t="s">
        <v>12040</v>
      </c>
      <c r="B1686" s="4" t="s">
        <v>12041</v>
      </c>
    </row>
    <row r="1687">
      <c r="A1687" s="4" t="s">
        <v>12042</v>
      </c>
      <c r="B1687" s="4" t="s">
        <v>12043</v>
      </c>
    </row>
    <row r="1688">
      <c r="A1688" s="4" t="s">
        <v>12044</v>
      </c>
      <c r="B1688" s="4" t="s">
        <v>12045</v>
      </c>
    </row>
    <row r="1689">
      <c r="A1689" s="4" t="s">
        <v>12046</v>
      </c>
      <c r="B1689" s="4" t="s">
        <v>12047</v>
      </c>
    </row>
    <row r="1690">
      <c r="A1690" s="4" t="s">
        <v>12048</v>
      </c>
      <c r="B1690" s="4" t="s">
        <v>12049</v>
      </c>
    </row>
    <row r="1691">
      <c r="A1691" s="4" t="s">
        <v>12050</v>
      </c>
      <c r="B1691" s="4" t="s">
        <v>12051</v>
      </c>
    </row>
    <row r="1692">
      <c r="A1692" s="4" t="s">
        <v>12052</v>
      </c>
      <c r="B1692" s="4" t="s">
        <v>12053</v>
      </c>
    </row>
    <row r="1693">
      <c r="A1693" s="4" t="s">
        <v>12054</v>
      </c>
      <c r="B1693" s="4" t="s">
        <v>12055</v>
      </c>
    </row>
    <row r="1694">
      <c r="A1694" s="4" t="s">
        <v>12056</v>
      </c>
      <c r="B1694" s="4" t="s">
        <v>12057</v>
      </c>
    </row>
    <row r="1695">
      <c r="A1695" s="4" t="s">
        <v>12058</v>
      </c>
      <c r="B1695" s="4" t="s">
        <v>12059</v>
      </c>
    </row>
    <row r="1696">
      <c r="A1696" s="4" t="s">
        <v>12060</v>
      </c>
      <c r="B1696" s="4" t="s">
        <v>12061</v>
      </c>
    </row>
    <row r="1697">
      <c r="A1697" s="4" t="s">
        <v>12062</v>
      </c>
      <c r="B1697" s="4" t="s">
        <v>12063</v>
      </c>
    </row>
    <row r="1698">
      <c r="A1698" s="4" t="s">
        <v>12064</v>
      </c>
      <c r="B1698" s="4" t="s">
        <v>12065</v>
      </c>
    </row>
    <row r="1699">
      <c r="A1699" s="4" t="s">
        <v>12066</v>
      </c>
      <c r="B1699" s="4" t="s">
        <v>12067</v>
      </c>
    </row>
    <row r="1700">
      <c r="A1700" s="4" t="s">
        <v>12068</v>
      </c>
      <c r="B1700" s="4" t="s">
        <v>12069</v>
      </c>
    </row>
    <row r="1701">
      <c r="A1701" s="4" t="s">
        <v>12070</v>
      </c>
      <c r="B1701" s="4" t="s">
        <v>12071</v>
      </c>
    </row>
    <row r="1702">
      <c r="A1702" s="4" t="s">
        <v>12072</v>
      </c>
      <c r="B1702" s="4" t="s">
        <v>12073</v>
      </c>
    </row>
    <row r="1703">
      <c r="A1703" s="4" t="s">
        <v>12074</v>
      </c>
      <c r="B1703" s="4" t="s">
        <v>12075</v>
      </c>
    </row>
    <row r="1704">
      <c r="A1704" s="4" t="s">
        <v>12076</v>
      </c>
      <c r="B1704" s="4" t="s">
        <v>12077</v>
      </c>
    </row>
    <row r="1705">
      <c r="A1705" s="4" t="s">
        <v>12078</v>
      </c>
      <c r="B1705" s="4" t="s">
        <v>12079</v>
      </c>
    </row>
    <row r="1706">
      <c r="A1706" s="4" t="s">
        <v>12080</v>
      </c>
      <c r="B1706" s="4" t="s">
        <v>12081</v>
      </c>
    </row>
    <row r="1707">
      <c r="A1707" s="4" t="s">
        <v>12082</v>
      </c>
      <c r="B1707" s="4" t="s">
        <v>12083</v>
      </c>
    </row>
    <row r="1708">
      <c r="A1708" s="4" t="s">
        <v>12084</v>
      </c>
      <c r="B1708" s="4" t="s">
        <v>12085</v>
      </c>
    </row>
    <row r="1709">
      <c r="A1709" s="4" t="s">
        <v>12086</v>
      </c>
      <c r="B1709" s="4" t="s">
        <v>12087</v>
      </c>
    </row>
    <row r="1710">
      <c r="A1710" s="4" t="s">
        <v>12088</v>
      </c>
      <c r="B1710" s="4" t="s">
        <v>12089</v>
      </c>
    </row>
    <row r="1711">
      <c r="A1711" s="4" t="s">
        <v>12090</v>
      </c>
      <c r="B1711" s="4" t="s">
        <v>12091</v>
      </c>
    </row>
    <row r="1712">
      <c r="A1712" s="4" t="s">
        <v>12092</v>
      </c>
      <c r="B1712" s="4" t="s">
        <v>12093</v>
      </c>
    </row>
    <row r="1713">
      <c r="A1713" s="4" t="s">
        <v>12094</v>
      </c>
      <c r="B1713" s="4" t="s">
        <v>12095</v>
      </c>
    </row>
    <row r="1714">
      <c r="A1714" s="4" t="s">
        <v>12096</v>
      </c>
      <c r="B1714" s="4" t="s">
        <v>12097</v>
      </c>
    </row>
    <row r="1715">
      <c r="A1715" s="4" t="s">
        <v>12098</v>
      </c>
      <c r="B1715" s="4" t="s">
        <v>12099</v>
      </c>
    </row>
    <row r="1716">
      <c r="A1716" s="4" t="s">
        <v>12100</v>
      </c>
      <c r="B1716" s="4" t="s">
        <v>12101</v>
      </c>
    </row>
    <row r="1717">
      <c r="A1717" s="4" t="s">
        <v>12102</v>
      </c>
      <c r="B1717" s="4" t="s">
        <v>12103</v>
      </c>
    </row>
    <row r="1718">
      <c r="A1718" s="4" t="s">
        <v>12104</v>
      </c>
      <c r="B1718" s="4" t="s">
        <v>12105</v>
      </c>
    </row>
    <row r="1719">
      <c r="A1719" s="4" t="s">
        <v>12106</v>
      </c>
      <c r="B1719" s="4" t="s">
        <v>12107</v>
      </c>
    </row>
    <row r="1720">
      <c r="A1720" s="4" t="s">
        <v>12108</v>
      </c>
      <c r="B1720" s="4" t="s">
        <v>12109</v>
      </c>
    </row>
    <row r="1721">
      <c r="A1721" s="4" t="s">
        <v>12110</v>
      </c>
      <c r="B1721" s="4" t="s">
        <v>12111</v>
      </c>
    </row>
    <row r="1722">
      <c r="A1722" s="4" t="s">
        <v>12112</v>
      </c>
      <c r="B1722" s="4" t="s">
        <v>12113</v>
      </c>
    </row>
    <row r="1723">
      <c r="A1723" s="4" t="s">
        <v>12114</v>
      </c>
      <c r="B1723" s="4" t="s">
        <v>12115</v>
      </c>
    </row>
    <row r="1724">
      <c r="A1724" s="4" t="s">
        <v>12116</v>
      </c>
      <c r="B1724" s="4" t="s">
        <v>12117</v>
      </c>
    </row>
    <row r="1725">
      <c r="A1725" s="4" t="s">
        <v>12118</v>
      </c>
      <c r="B1725" s="4" t="s">
        <v>12119</v>
      </c>
    </row>
    <row r="1726">
      <c r="A1726" s="4" t="s">
        <v>12120</v>
      </c>
      <c r="B1726" s="4" t="s">
        <v>12121</v>
      </c>
    </row>
    <row r="1727">
      <c r="A1727" s="4" t="s">
        <v>12122</v>
      </c>
      <c r="B1727" s="4" t="s">
        <v>12123</v>
      </c>
    </row>
    <row r="1728">
      <c r="A1728" s="4" t="s">
        <v>12124</v>
      </c>
      <c r="B1728" s="4" t="s">
        <v>12125</v>
      </c>
    </row>
    <row r="1729">
      <c r="A1729" s="4" t="s">
        <v>12126</v>
      </c>
      <c r="B1729" s="4" t="s">
        <v>12127</v>
      </c>
    </row>
    <row r="1730">
      <c r="A1730" s="4" t="s">
        <v>12128</v>
      </c>
      <c r="B1730" s="4" t="s">
        <v>12129</v>
      </c>
    </row>
    <row r="1731">
      <c r="A1731" s="4" t="s">
        <v>12130</v>
      </c>
      <c r="B1731" s="4" t="s">
        <v>12131</v>
      </c>
    </row>
    <row r="1732">
      <c r="A1732" s="4" t="s">
        <v>12132</v>
      </c>
      <c r="B1732" s="4" t="s">
        <v>12133</v>
      </c>
    </row>
    <row r="1733">
      <c r="A1733" s="4" t="s">
        <v>12134</v>
      </c>
      <c r="B1733" s="4" t="s">
        <v>12135</v>
      </c>
    </row>
    <row r="1734">
      <c r="A1734" s="4" t="s">
        <v>12136</v>
      </c>
      <c r="B1734" s="4" t="s">
        <v>12137</v>
      </c>
    </row>
    <row r="1735">
      <c r="A1735" s="4" t="s">
        <v>12138</v>
      </c>
      <c r="B1735" s="4" t="s">
        <v>12139</v>
      </c>
    </row>
    <row r="1736">
      <c r="A1736" s="4" t="s">
        <v>12140</v>
      </c>
      <c r="B1736" s="4" t="s">
        <v>12141</v>
      </c>
    </row>
    <row r="1737">
      <c r="A1737" s="4" t="s">
        <v>12142</v>
      </c>
      <c r="B1737" s="4" t="s">
        <v>12143</v>
      </c>
    </row>
    <row r="1738">
      <c r="A1738" s="4" t="s">
        <v>12144</v>
      </c>
      <c r="B1738" s="4" t="s">
        <v>12145</v>
      </c>
    </row>
    <row r="1739">
      <c r="A1739" s="4" t="s">
        <v>12146</v>
      </c>
      <c r="B1739" s="4" t="s">
        <v>12147</v>
      </c>
    </row>
    <row r="1740">
      <c r="A1740" s="4" t="s">
        <v>12148</v>
      </c>
      <c r="B1740" s="4" t="s">
        <v>12149</v>
      </c>
    </row>
    <row r="1741">
      <c r="A1741" s="4" t="s">
        <v>12150</v>
      </c>
      <c r="B1741" s="4" t="s">
        <v>12151</v>
      </c>
    </row>
    <row r="1742">
      <c r="A1742" s="4" t="s">
        <v>12152</v>
      </c>
      <c r="B1742" s="4" t="s">
        <v>12153</v>
      </c>
    </row>
    <row r="1743">
      <c r="A1743" s="4" t="s">
        <v>12154</v>
      </c>
      <c r="B1743" s="4" t="s">
        <v>12155</v>
      </c>
    </row>
    <row r="1744">
      <c r="A1744" s="4" t="s">
        <v>12156</v>
      </c>
      <c r="B1744" s="4" t="s">
        <v>12157</v>
      </c>
    </row>
    <row r="1745">
      <c r="A1745" s="4" t="s">
        <v>12158</v>
      </c>
      <c r="B1745" s="4" t="s">
        <v>12159</v>
      </c>
    </row>
    <row r="1746">
      <c r="A1746" s="4" t="s">
        <v>12160</v>
      </c>
      <c r="B1746" s="4" t="s">
        <v>12161</v>
      </c>
    </row>
    <row r="1747">
      <c r="A1747" s="4" t="s">
        <v>12162</v>
      </c>
      <c r="B1747" s="4" t="s">
        <v>12163</v>
      </c>
    </row>
    <row r="1748">
      <c r="A1748" s="4" t="s">
        <v>12164</v>
      </c>
      <c r="B1748" s="4" t="s">
        <v>12165</v>
      </c>
    </row>
    <row r="1749">
      <c r="A1749" s="4" t="s">
        <v>12166</v>
      </c>
      <c r="B1749" s="4" t="s">
        <v>12167</v>
      </c>
    </row>
    <row r="1750">
      <c r="A1750" s="4" t="s">
        <v>12168</v>
      </c>
      <c r="B1750" s="4" t="s">
        <v>12169</v>
      </c>
    </row>
    <row r="1751">
      <c r="A1751" s="4" t="s">
        <v>12170</v>
      </c>
      <c r="B1751" s="4" t="s">
        <v>12171</v>
      </c>
    </row>
    <row r="1752">
      <c r="A1752" s="4" t="s">
        <v>12172</v>
      </c>
      <c r="B1752" s="4" t="s">
        <v>12173</v>
      </c>
    </row>
    <row r="1753">
      <c r="A1753" s="4" t="s">
        <v>12174</v>
      </c>
      <c r="B1753" s="4" t="s">
        <v>12175</v>
      </c>
    </row>
    <row r="1754">
      <c r="A1754" s="4" t="s">
        <v>12176</v>
      </c>
      <c r="B1754" s="4" t="s">
        <v>12177</v>
      </c>
    </row>
    <row r="1755">
      <c r="A1755" s="4" t="s">
        <v>12178</v>
      </c>
      <c r="B1755" s="4" t="s">
        <v>12179</v>
      </c>
    </row>
    <row r="1756">
      <c r="A1756" s="4" t="s">
        <v>12180</v>
      </c>
      <c r="B1756" s="4" t="s">
        <v>12181</v>
      </c>
    </row>
    <row r="1757">
      <c r="A1757" s="4" t="s">
        <v>12182</v>
      </c>
      <c r="B1757" s="4" t="s">
        <v>12183</v>
      </c>
    </row>
    <row r="1758">
      <c r="A1758" s="4" t="s">
        <v>12184</v>
      </c>
      <c r="B1758" s="4" t="s">
        <v>12185</v>
      </c>
    </row>
    <row r="1759">
      <c r="A1759" s="4" t="s">
        <v>12186</v>
      </c>
      <c r="B1759" s="4" t="s">
        <v>12187</v>
      </c>
    </row>
    <row r="1760">
      <c r="A1760" s="4" t="s">
        <v>12188</v>
      </c>
      <c r="B1760" s="4" t="s">
        <v>12189</v>
      </c>
    </row>
    <row r="1761">
      <c r="A1761" s="4" t="s">
        <v>12190</v>
      </c>
      <c r="B1761" s="4" t="s">
        <v>12191</v>
      </c>
    </row>
    <row r="1762">
      <c r="A1762" s="4" t="s">
        <v>12192</v>
      </c>
      <c r="B1762" s="4" t="s">
        <v>12193</v>
      </c>
    </row>
    <row r="1763">
      <c r="A1763" s="4" t="s">
        <v>12194</v>
      </c>
      <c r="B1763" s="4" t="s">
        <v>12195</v>
      </c>
    </row>
    <row r="1764">
      <c r="A1764" s="4" t="s">
        <v>12196</v>
      </c>
      <c r="B1764" s="4" t="s">
        <v>12197</v>
      </c>
    </row>
    <row r="1765">
      <c r="A1765" s="4" t="s">
        <v>12198</v>
      </c>
      <c r="B1765" s="4" t="s">
        <v>12199</v>
      </c>
    </row>
    <row r="1766">
      <c r="A1766" s="4" t="s">
        <v>12200</v>
      </c>
      <c r="B1766" s="4" t="s">
        <v>12201</v>
      </c>
    </row>
    <row r="1767">
      <c r="A1767" s="4" t="s">
        <v>12202</v>
      </c>
      <c r="B1767" s="4" t="s">
        <v>12203</v>
      </c>
    </row>
    <row r="1768">
      <c r="A1768" s="4" t="s">
        <v>12204</v>
      </c>
      <c r="B1768" s="4" t="s">
        <v>12205</v>
      </c>
    </row>
    <row r="1769">
      <c r="A1769" s="4" t="s">
        <v>12206</v>
      </c>
      <c r="B1769" s="4" t="s">
        <v>12207</v>
      </c>
    </row>
    <row r="1770">
      <c r="A1770" s="4" t="s">
        <v>12208</v>
      </c>
      <c r="B1770" s="4" t="s">
        <v>12209</v>
      </c>
    </row>
    <row r="1771">
      <c r="A1771" s="4" t="s">
        <v>12210</v>
      </c>
      <c r="B1771" s="4" t="s">
        <v>12211</v>
      </c>
    </row>
    <row r="1772">
      <c r="A1772" s="4" t="s">
        <v>12212</v>
      </c>
      <c r="B1772" s="4" t="s">
        <v>12213</v>
      </c>
    </row>
    <row r="1773">
      <c r="A1773" s="4" t="s">
        <v>12214</v>
      </c>
      <c r="B1773" s="4" t="s">
        <v>12215</v>
      </c>
    </row>
    <row r="1774">
      <c r="A1774" s="4" t="s">
        <v>12216</v>
      </c>
      <c r="B1774" s="4" t="s">
        <v>12217</v>
      </c>
    </row>
    <row r="1775">
      <c r="A1775" s="4" t="s">
        <v>12218</v>
      </c>
      <c r="B1775" s="4" t="s">
        <v>12219</v>
      </c>
    </row>
    <row r="1776">
      <c r="A1776" s="4" t="s">
        <v>12220</v>
      </c>
      <c r="B1776" s="4" t="s">
        <v>12221</v>
      </c>
    </row>
    <row r="1777">
      <c r="A1777" s="4" t="s">
        <v>12222</v>
      </c>
      <c r="B1777" s="4" t="s">
        <v>12223</v>
      </c>
    </row>
    <row r="1778">
      <c r="A1778" s="4" t="s">
        <v>12224</v>
      </c>
      <c r="B1778" s="4" t="s">
        <v>12225</v>
      </c>
    </row>
    <row r="1779">
      <c r="A1779" s="4" t="s">
        <v>12226</v>
      </c>
      <c r="B1779" s="4" t="s">
        <v>12227</v>
      </c>
    </row>
    <row r="1780">
      <c r="A1780" s="4" t="s">
        <v>12228</v>
      </c>
      <c r="B1780" s="4" t="s">
        <v>12229</v>
      </c>
    </row>
    <row r="1781">
      <c r="A1781" s="4" t="s">
        <v>12230</v>
      </c>
      <c r="B1781" s="4" t="s">
        <v>12231</v>
      </c>
    </row>
    <row r="1782">
      <c r="A1782" s="4" t="s">
        <v>12232</v>
      </c>
      <c r="B1782" s="4" t="s">
        <v>12233</v>
      </c>
    </row>
    <row r="1783">
      <c r="A1783" s="4" t="s">
        <v>12234</v>
      </c>
      <c r="B1783" s="4" t="s">
        <v>12235</v>
      </c>
    </row>
    <row r="1784">
      <c r="A1784" s="4" t="s">
        <v>12236</v>
      </c>
      <c r="B1784" s="4" t="s">
        <v>12237</v>
      </c>
    </row>
    <row r="1785">
      <c r="A1785" s="4" t="s">
        <v>12238</v>
      </c>
      <c r="B1785" s="4" t="s">
        <v>9996</v>
      </c>
    </row>
    <row r="1786">
      <c r="A1786" s="4" t="s">
        <v>12239</v>
      </c>
      <c r="B1786" s="4" t="s">
        <v>12240</v>
      </c>
    </row>
    <row r="1787">
      <c r="A1787" s="4" t="s">
        <v>12241</v>
      </c>
      <c r="B1787" s="4" t="s">
        <v>12242</v>
      </c>
    </row>
    <row r="1788">
      <c r="A1788" s="4" t="s">
        <v>12243</v>
      </c>
      <c r="B1788" s="4" t="s">
        <v>12244</v>
      </c>
    </row>
    <row r="1789">
      <c r="A1789" s="4" t="s">
        <v>12245</v>
      </c>
      <c r="B1789" s="4" t="s">
        <v>12246</v>
      </c>
    </row>
    <row r="1790">
      <c r="A1790" s="4" t="s">
        <v>12247</v>
      </c>
      <c r="B1790" s="4" t="s">
        <v>12248</v>
      </c>
    </row>
    <row r="1791">
      <c r="A1791" s="4" t="s">
        <v>12249</v>
      </c>
      <c r="B1791" s="4" t="s">
        <v>12250</v>
      </c>
    </row>
    <row r="1792">
      <c r="A1792" s="4" t="s">
        <v>12251</v>
      </c>
      <c r="B1792" s="4" t="s">
        <v>12252</v>
      </c>
    </row>
    <row r="1793">
      <c r="A1793" s="4" t="s">
        <v>12253</v>
      </c>
      <c r="B1793" s="4" t="s">
        <v>12254</v>
      </c>
    </row>
    <row r="1794">
      <c r="A1794" s="4" t="s">
        <v>12255</v>
      </c>
      <c r="B1794" s="4" t="s">
        <v>12256</v>
      </c>
    </row>
    <row r="1795">
      <c r="A1795" s="4" t="s">
        <v>12257</v>
      </c>
      <c r="B1795" s="4" t="s">
        <v>12258</v>
      </c>
    </row>
    <row r="1796">
      <c r="A1796" s="4" t="s">
        <v>12259</v>
      </c>
      <c r="B1796" s="4" t="s">
        <v>12260</v>
      </c>
    </row>
    <row r="1797">
      <c r="A1797" s="4" t="s">
        <v>12261</v>
      </c>
      <c r="B1797" s="4" t="s">
        <v>12262</v>
      </c>
    </row>
    <row r="1798">
      <c r="A1798" s="4" t="s">
        <v>12263</v>
      </c>
      <c r="B1798" s="4" t="s">
        <v>12264</v>
      </c>
    </row>
    <row r="1799">
      <c r="A1799" s="4" t="s">
        <v>12265</v>
      </c>
      <c r="B1799" s="4" t="s">
        <v>12266</v>
      </c>
    </row>
    <row r="1800">
      <c r="A1800" s="4" t="s">
        <v>12267</v>
      </c>
      <c r="B1800" s="4" t="s">
        <v>12268</v>
      </c>
    </row>
    <row r="1801">
      <c r="A1801" s="4" t="s">
        <v>12269</v>
      </c>
      <c r="B1801" s="4" t="s">
        <v>12270</v>
      </c>
    </row>
    <row r="1802">
      <c r="A1802" s="4" t="s">
        <v>12271</v>
      </c>
      <c r="B1802" s="4" t="s">
        <v>12272</v>
      </c>
    </row>
    <row r="1803">
      <c r="A1803" s="4" t="s">
        <v>12273</v>
      </c>
      <c r="B1803" s="4" t="s">
        <v>12274</v>
      </c>
    </row>
    <row r="1804">
      <c r="A1804" s="4" t="s">
        <v>12275</v>
      </c>
      <c r="B1804" s="4" t="s">
        <v>12276</v>
      </c>
    </row>
    <row r="1805">
      <c r="A1805" s="4" t="s">
        <v>12277</v>
      </c>
      <c r="B1805" s="4" t="s">
        <v>12278</v>
      </c>
    </row>
    <row r="1806">
      <c r="A1806" s="4" t="s">
        <v>12279</v>
      </c>
      <c r="B1806" s="4" t="s">
        <v>12280</v>
      </c>
    </row>
    <row r="1807">
      <c r="A1807" s="4" t="s">
        <v>12281</v>
      </c>
      <c r="B1807" s="4" t="s">
        <v>12282</v>
      </c>
    </row>
    <row r="1808">
      <c r="A1808" s="4" t="s">
        <v>12283</v>
      </c>
      <c r="B1808" s="4" t="s">
        <v>12284</v>
      </c>
    </row>
    <row r="1809">
      <c r="A1809" s="4" t="s">
        <v>12285</v>
      </c>
      <c r="B1809" s="4" t="s">
        <v>12286</v>
      </c>
    </row>
    <row r="1810">
      <c r="A1810" s="4" t="s">
        <v>12287</v>
      </c>
      <c r="B1810" s="4" t="s">
        <v>12288</v>
      </c>
    </row>
    <row r="1811">
      <c r="A1811" s="4" t="s">
        <v>12289</v>
      </c>
      <c r="B1811" s="4" t="s">
        <v>12290</v>
      </c>
    </row>
    <row r="1812">
      <c r="A1812" s="4" t="s">
        <v>12291</v>
      </c>
      <c r="B1812" s="4" t="s">
        <v>12292</v>
      </c>
    </row>
    <row r="1813">
      <c r="A1813" s="4" t="s">
        <v>12293</v>
      </c>
      <c r="B1813" s="4" t="s">
        <v>12294</v>
      </c>
    </row>
    <row r="1814">
      <c r="A1814" s="4" t="s">
        <v>12295</v>
      </c>
      <c r="B1814" s="4" t="s">
        <v>12296</v>
      </c>
    </row>
    <row r="1815">
      <c r="A1815" s="4" t="s">
        <v>12297</v>
      </c>
      <c r="B1815" s="4" t="s">
        <v>12298</v>
      </c>
    </row>
    <row r="1816">
      <c r="A1816" s="4" t="s">
        <v>12299</v>
      </c>
      <c r="B1816" s="4" t="s">
        <v>12300</v>
      </c>
    </row>
    <row r="1817">
      <c r="A1817" s="4" t="s">
        <v>12301</v>
      </c>
      <c r="B1817" s="4" t="s">
        <v>12302</v>
      </c>
    </row>
    <row r="1818">
      <c r="A1818" s="4" t="s">
        <v>12303</v>
      </c>
      <c r="B1818" s="4" t="s">
        <v>12304</v>
      </c>
    </row>
    <row r="1819">
      <c r="A1819" s="4" t="s">
        <v>12305</v>
      </c>
      <c r="B1819" s="4" t="s">
        <v>12306</v>
      </c>
    </row>
    <row r="1820">
      <c r="A1820" s="4" t="s">
        <v>12307</v>
      </c>
      <c r="B1820" s="4" t="s">
        <v>12308</v>
      </c>
    </row>
    <row r="1821">
      <c r="A1821" s="4" t="s">
        <v>12309</v>
      </c>
      <c r="B1821" s="4" t="s">
        <v>12310</v>
      </c>
    </row>
    <row r="1822">
      <c r="A1822" s="4" t="s">
        <v>12311</v>
      </c>
      <c r="B1822" s="4" t="s">
        <v>12312</v>
      </c>
    </row>
    <row r="1823">
      <c r="A1823" s="4" t="s">
        <v>12313</v>
      </c>
      <c r="B1823" s="4" t="s">
        <v>12314</v>
      </c>
    </row>
    <row r="1824">
      <c r="A1824" s="4" t="s">
        <v>12315</v>
      </c>
      <c r="B1824" s="4" t="s">
        <v>12316</v>
      </c>
    </row>
    <row r="1825">
      <c r="A1825" s="4" t="s">
        <v>12317</v>
      </c>
      <c r="B1825" s="4" t="s">
        <v>12318</v>
      </c>
    </row>
    <row r="1826">
      <c r="A1826" s="4" t="s">
        <v>12319</v>
      </c>
      <c r="B1826" s="4" t="s">
        <v>12320</v>
      </c>
    </row>
    <row r="1827">
      <c r="A1827" s="4" t="s">
        <v>12321</v>
      </c>
      <c r="B1827" s="4" t="s">
        <v>12322</v>
      </c>
    </row>
    <row r="1828">
      <c r="A1828" s="4" t="s">
        <v>12323</v>
      </c>
      <c r="B1828" s="4" t="s">
        <v>12324</v>
      </c>
    </row>
    <row r="1829">
      <c r="A1829" s="4" t="s">
        <v>12325</v>
      </c>
      <c r="B1829" s="4" t="s">
        <v>12326</v>
      </c>
    </row>
    <row r="1830">
      <c r="A1830" s="4" t="s">
        <v>12327</v>
      </c>
      <c r="B1830" s="4" t="s">
        <v>12328</v>
      </c>
    </row>
    <row r="1831">
      <c r="A1831" s="4" t="s">
        <v>12329</v>
      </c>
      <c r="B1831" s="4" t="s">
        <v>12330</v>
      </c>
    </row>
    <row r="1832">
      <c r="A1832" s="4" t="s">
        <v>12331</v>
      </c>
      <c r="B1832" s="4" t="s">
        <v>12332</v>
      </c>
    </row>
    <row r="1833">
      <c r="A1833" s="4" t="s">
        <v>12333</v>
      </c>
      <c r="B1833" s="4" t="s">
        <v>12334</v>
      </c>
    </row>
    <row r="1834">
      <c r="A1834" s="4" t="s">
        <v>12335</v>
      </c>
      <c r="B1834" s="4" t="s">
        <v>12336</v>
      </c>
    </row>
    <row r="1835">
      <c r="A1835" s="4" t="s">
        <v>12337</v>
      </c>
      <c r="B1835" s="4" t="s">
        <v>12338</v>
      </c>
    </row>
    <row r="1836">
      <c r="A1836" s="4" t="s">
        <v>12339</v>
      </c>
      <c r="B1836" s="4" t="s">
        <v>12340</v>
      </c>
    </row>
    <row r="1837">
      <c r="A1837" s="4" t="s">
        <v>12341</v>
      </c>
      <c r="B1837" s="4" t="s">
        <v>12342</v>
      </c>
    </row>
    <row r="1838">
      <c r="A1838" s="4" t="s">
        <v>12343</v>
      </c>
      <c r="B1838" s="4" t="s">
        <v>12344</v>
      </c>
    </row>
    <row r="1839">
      <c r="A1839" s="4" t="s">
        <v>12345</v>
      </c>
      <c r="B1839" s="4" t="s">
        <v>12346</v>
      </c>
    </row>
    <row r="1840">
      <c r="A1840" s="4" t="s">
        <v>12347</v>
      </c>
      <c r="B1840" s="4" t="s">
        <v>12348</v>
      </c>
    </row>
    <row r="1841">
      <c r="A1841" s="4" t="s">
        <v>12349</v>
      </c>
      <c r="B1841" s="4" t="s">
        <v>12350</v>
      </c>
    </row>
    <row r="1842">
      <c r="A1842" s="4" t="s">
        <v>12351</v>
      </c>
      <c r="B1842" s="4" t="s">
        <v>12352</v>
      </c>
    </row>
    <row r="1843">
      <c r="A1843" s="4" t="s">
        <v>12353</v>
      </c>
      <c r="B1843" s="4" t="s">
        <v>12354</v>
      </c>
    </row>
    <row r="1844">
      <c r="A1844" s="4" t="s">
        <v>12355</v>
      </c>
      <c r="B1844" s="4" t="s">
        <v>12356</v>
      </c>
    </row>
    <row r="1845">
      <c r="A1845" s="4" t="s">
        <v>12357</v>
      </c>
      <c r="B1845" s="4" t="s">
        <v>12358</v>
      </c>
    </row>
    <row r="1846">
      <c r="A1846" s="4" t="s">
        <v>12359</v>
      </c>
      <c r="B1846" s="4" t="s">
        <v>12360</v>
      </c>
    </row>
    <row r="1847">
      <c r="A1847" s="4" t="s">
        <v>12361</v>
      </c>
      <c r="B1847" s="4" t="s">
        <v>12362</v>
      </c>
    </row>
    <row r="1848">
      <c r="A1848" s="4" t="s">
        <v>12363</v>
      </c>
      <c r="B1848" s="4" t="s">
        <v>12364</v>
      </c>
    </row>
    <row r="1849">
      <c r="A1849" s="4" t="s">
        <v>12365</v>
      </c>
      <c r="B1849" s="4" t="s">
        <v>12366</v>
      </c>
    </row>
    <row r="1850">
      <c r="A1850" s="4" t="s">
        <v>12367</v>
      </c>
      <c r="B1850" s="4" t="s">
        <v>12368</v>
      </c>
    </row>
    <row r="1851">
      <c r="A1851" s="4" t="s">
        <v>12369</v>
      </c>
      <c r="B1851" s="4" t="s">
        <v>12370</v>
      </c>
    </row>
    <row r="1852">
      <c r="A1852" s="4" t="s">
        <v>12371</v>
      </c>
      <c r="B1852" s="4" t="s">
        <v>12372</v>
      </c>
    </row>
    <row r="1853">
      <c r="A1853" s="4" t="s">
        <v>12373</v>
      </c>
      <c r="B1853" s="4" t="s">
        <v>12374</v>
      </c>
    </row>
    <row r="1854">
      <c r="A1854" s="4" t="s">
        <v>12375</v>
      </c>
      <c r="B1854" s="4" t="s">
        <v>12376</v>
      </c>
    </row>
    <row r="1855">
      <c r="A1855" s="4" t="s">
        <v>12377</v>
      </c>
      <c r="B1855" s="4" t="s">
        <v>12378</v>
      </c>
    </row>
    <row r="1856">
      <c r="A1856" s="4" t="s">
        <v>12379</v>
      </c>
      <c r="B1856" s="4" t="s">
        <v>12380</v>
      </c>
    </row>
    <row r="1857">
      <c r="A1857" s="4" t="s">
        <v>12381</v>
      </c>
      <c r="B1857" s="4" t="s">
        <v>12382</v>
      </c>
    </row>
    <row r="1858">
      <c r="A1858" s="4" t="s">
        <v>12383</v>
      </c>
      <c r="B1858" s="4" t="s">
        <v>12384</v>
      </c>
    </row>
    <row r="1859">
      <c r="A1859" s="4" t="s">
        <v>12385</v>
      </c>
      <c r="B1859" s="4" t="s">
        <v>12386</v>
      </c>
    </row>
    <row r="1860">
      <c r="A1860" s="4" t="s">
        <v>12387</v>
      </c>
      <c r="B1860" s="4" t="s">
        <v>12388</v>
      </c>
    </row>
    <row r="1861">
      <c r="A1861" s="4" t="s">
        <v>12389</v>
      </c>
      <c r="B1861" s="4" t="s">
        <v>12390</v>
      </c>
    </row>
    <row r="1862">
      <c r="A1862" s="4" t="s">
        <v>12391</v>
      </c>
      <c r="B1862" s="4" t="s">
        <v>12392</v>
      </c>
    </row>
    <row r="1863">
      <c r="A1863" s="4" t="s">
        <v>12393</v>
      </c>
      <c r="B1863" s="4" t="s">
        <v>12394</v>
      </c>
    </row>
    <row r="1864">
      <c r="A1864" s="4" t="s">
        <v>12395</v>
      </c>
      <c r="B1864" s="4" t="s">
        <v>12396</v>
      </c>
    </row>
    <row r="1865">
      <c r="A1865" s="4" t="s">
        <v>12397</v>
      </c>
      <c r="B1865" s="4" t="s">
        <v>12398</v>
      </c>
    </row>
    <row r="1866">
      <c r="A1866" s="4" t="s">
        <v>12399</v>
      </c>
      <c r="B1866" s="4" t="s">
        <v>12400</v>
      </c>
    </row>
    <row r="1867">
      <c r="A1867" s="4" t="s">
        <v>12401</v>
      </c>
      <c r="B1867" s="4" t="s">
        <v>12402</v>
      </c>
    </row>
    <row r="1868">
      <c r="A1868" s="4" t="s">
        <v>12403</v>
      </c>
      <c r="B1868" s="4" t="s">
        <v>12404</v>
      </c>
    </row>
    <row r="1869">
      <c r="A1869" s="4" t="s">
        <v>12405</v>
      </c>
      <c r="B1869" s="4" t="s">
        <v>12406</v>
      </c>
    </row>
    <row r="1870">
      <c r="A1870" s="4" t="s">
        <v>12407</v>
      </c>
      <c r="B1870" s="4" t="s">
        <v>12408</v>
      </c>
    </row>
    <row r="1871">
      <c r="A1871" s="4" t="s">
        <v>12409</v>
      </c>
      <c r="B1871" s="4" t="s">
        <v>12410</v>
      </c>
    </row>
    <row r="1872">
      <c r="A1872" s="4" t="s">
        <v>12411</v>
      </c>
      <c r="B1872" s="4" t="s">
        <v>12412</v>
      </c>
    </row>
    <row r="1873">
      <c r="A1873" s="4" t="s">
        <v>12413</v>
      </c>
      <c r="B1873" s="4" t="s">
        <v>12414</v>
      </c>
    </row>
    <row r="1874">
      <c r="A1874" s="4" t="s">
        <v>12415</v>
      </c>
      <c r="B1874" s="4" t="s">
        <v>12416</v>
      </c>
    </row>
    <row r="1875">
      <c r="A1875" s="4" t="s">
        <v>12417</v>
      </c>
      <c r="B1875" s="4" t="s">
        <v>12418</v>
      </c>
    </row>
    <row r="1876">
      <c r="A1876" s="4" t="s">
        <v>12419</v>
      </c>
      <c r="B1876" s="4" t="s">
        <v>12420</v>
      </c>
    </row>
    <row r="1877">
      <c r="A1877" s="4" t="s">
        <v>12421</v>
      </c>
      <c r="B1877" s="4" t="s">
        <v>12422</v>
      </c>
    </row>
    <row r="1878">
      <c r="A1878" s="4" t="s">
        <v>12423</v>
      </c>
      <c r="B1878" s="4" t="s">
        <v>12424</v>
      </c>
    </row>
    <row r="1879">
      <c r="A1879" s="4" t="s">
        <v>12425</v>
      </c>
      <c r="B1879" s="4" t="s">
        <v>12426</v>
      </c>
    </row>
    <row r="1880">
      <c r="A1880" s="4" t="s">
        <v>12427</v>
      </c>
      <c r="B1880" s="4" t="s">
        <v>12428</v>
      </c>
    </row>
    <row r="1881">
      <c r="A1881" s="4" t="s">
        <v>12429</v>
      </c>
      <c r="B1881" s="4" t="s">
        <v>12430</v>
      </c>
    </row>
    <row r="1882">
      <c r="A1882" s="4" t="s">
        <v>12431</v>
      </c>
      <c r="B1882" s="4" t="s">
        <v>12432</v>
      </c>
    </row>
    <row r="1883">
      <c r="A1883" s="4" t="s">
        <v>12433</v>
      </c>
      <c r="B1883" s="4" t="s">
        <v>12434</v>
      </c>
    </row>
    <row r="1884">
      <c r="A1884" s="4" t="s">
        <v>12435</v>
      </c>
      <c r="B1884" s="4" t="s">
        <v>12436</v>
      </c>
    </row>
    <row r="1885">
      <c r="A1885" s="4" t="s">
        <v>12437</v>
      </c>
      <c r="B1885" s="4" t="s">
        <v>12438</v>
      </c>
    </row>
    <row r="1886">
      <c r="A1886" s="4" t="s">
        <v>12439</v>
      </c>
      <c r="B1886" s="4" t="s">
        <v>12440</v>
      </c>
    </row>
    <row r="1887">
      <c r="A1887" s="4" t="s">
        <v>12441</v>
      </c>
      <c r="B1887" s="4" t="s">
        <v>12442</v>
      </c>
    </row>
    <row r="1888">
      <c r="A1888" s="4" t="s">
        <v>12443</v>
      </c>
      <c r="B1888" s="4" t="s">
        <v>12444</v>
      </c>
    </row>
    <row r="1889">
      <c r="A1889" s="4" t="s">
        <v>12445</v>
      </c>
      <c r="B1889" s="4" t="s">
        <v>12446</v>
      </c>
    </row>
    <row r="1890">
      <c r="A1890" s="4" t="s">
        <v>12447</v>
      </c>
      <c r="B1890" s="4" t="s">
        <v>12448</v>
      </c>
    </row>
    <row r="1891">
      <c r="A1891" s="4" t="s">
        <v>12449</v>
      </c>
      <c r="B1891" s="4" t="s">
        <v>12450</v>
      </c>
    </row>
    <row r="1892">
      <c r="A1892" s="4" t="s">
        <v>12451</v>
      </c>
      <c r="B1892" s="4" t="s">
        <v>12452</v>
      </c>
    </row>
    <row r="1893">
      <c r="A1893" s="4" t="s">
        <v>12453</v>
      </c>
      <c r="B1893" s="4" t="s">
        <v>12454</v>
      </c>
    </row>
    <row r="1894">
      <c r="A1894" s="4" t="s">
        <v>12455</v>
      </c>
      <c r="B1894" s="4" t="s">
        <v>12456</v>
      </c>
    </row>
    <row r="1895">
      <c r="A1895" s="4" t="s">
        <v>12457</v>
      </c>
      <c r="B1895" s="4" t="s">
        <v>12458</v>
      </c>
    </row>
    <row r="1896">
      <c r="A1896" s="4" t="s">
        <v>12459</v>
      </c>
      <c r="B1896" s="4" t="s">
        <v>12460</v>
      </c>
    </row>
    <row r="1897">
      <c r="A1897" s="4" t="s">
        <v>12461</v>
      </c>
      <c r="B1897" s="4" t="s">
        <v>12462</v>
      </c>
    </row>
    <row r="1898">
      <c r="A1898" s="4" t="s">
        <v>12463</v>
      </c>
      <c r="B1898" s="4" t="s">
        <v>12464</v>
      </c>
    </row>
    <row r="1899">
      <c r="A1899" s="4" t="s">
        <v>12465</v>
      </c>
      <c r="B1899" s="4" t="s">
        <v>12466</v>
      </c>
    </row>
    <row r="1900">
      <c r="A1900" s="4" t="s">
        <v>12467</v>
      </c>
      <c r="B1900" s="4" t="s">
        <v>12468</v>
      </c>
    </row>
    <row r="1901">
      <c r="A1901" s="4" t="s">
        <v>12469</v>
      </c>
      <c r="B1901" s="4" t="s">
        <v>12470</v>
      </c>
    </row>
    <row r="1902">
      <c r="A1902" s="4" t="s">
        <v>12471</v>
      </c>
      <c r="B1902" s="4" t="s">
        <v>12472</v>
      </c>
    </row>
    <row r="1903">
      <c r="A1903" s="4" t="s">
        <v>12473</v>
      </c>
      <c r="B1903" s="4" t="s">
        <v>12474</v>
      </c>
    </row>
    <row r="1904">
      <c r="A1904" s="4" t="s">
        <v>12475</v>
      </c>
      <c r="B1904" s="4" t="s">
        <v>12476</v>
      </c>
    </row>
    <row r="1905">
      <c r="A1905" s="4" t="s">
        <v>12477</v>
      </c>
      <c r="B1905" s="4" t="s">
        <v>12478</v>
      </c>
    </row>
    <row r="1906">
      <c r="A1906" s="4" t="s">
        <v>12479</v>
      </c>
      <c r="B1906" s="4" t="s">
        <v>12480</v>
      </c>
    </row>
    <row r="1907">
      <c r="A1907" s="4" t="s">
        <v>12481</v>
      </c>
      <c r="B1907" s="4" t="s">
        <v>12482</v>
      </c>
    </row>
    <row r="1908">
      <c r="A1908" s="4" t="s">
        <v>12483</v>
      </c>
      <c r="B1908" s="4" t="s">
        <v>12484</v>
      </c>
    </row>
    <row r="1909">
      <c r="A1909" s="4" t="s">
        <v>12485</v>
      </c>
      <c r="B1909" s="4" t="s">
        <v>12486</v>
      </c>
    </row>
    <row r="1910">
      <c r="A1910" s="4" t="s">
        <v>12487</v>
      </c>
      <c r="B1910" s="4" t="s">
        <v>12488</v>
      </c>
    </row>
    <row r="1911">
      <c r="A1911" s="4" t="s">
        <v>12489</v>
      </c>
      <c r="B1911" s="4" t="s">
        <v>12490</v>
      </c>
    </row>
    <row r="1912">
      <c r="A1912" s="4" t="s">
        <v>12491</v>
      </c>
      <c r="B1912" s="4" t="s">
        <v>12492</v>
      </c>
    </row>
    <row r="1913">
      <c r="A1913" s="4" t="s">
        <v>12493</v>
      </c>
      <c r="B1913" s="4" t="s">
        <v>12494</v>
      </c>
    </row>
    <row r="1914">
      <c r="A1914" s="4" t="s">
        <v>12495</v>
      </c>
      <c r="B1914" s="4" t="s">
        <v>12496</v>
      </c>
    </row>
    <row r="1915">
      <c r="A1915" s="4" t="s">
        <v>12497</v>
      </c>
      <c r="B1915" s="4" t="s">
        <v>12498</v>
      </c>
    </row>
    <row r="1916">
      <c r="A1916" s="4" t="s">
        <v>12499</v>
      </c>
      <c r="B1916" s="4" t="s">
        <v>12500</v>
      </c>
    </row>
    <row r="1917">
      <c r="A1917" s="4" t="s">
        <v>12501</v>
      </c>
      <c r="B1917" s="4" t="s">
        <v>12502</v>
      </c>
    </row>
    <row r="1918">
      <c r="A1918" s="4" t="s">
        <v>12503</v>
      </c>
      <c r="B1918" s="4" t="s">
        <v>12504</v>
      </c>
    </row>
    <row r="1919">
      <c r="A1919" s="4" t="s">
        <v>12505</v>
      </c>
      <c r="B1919" s="4" t="s">
        <v>12506</v>
      </c>
    </row>
    <row r="1920">
      <c r="A1920" s="4" t="s">
        <v>12507</v>
      </c>
      <c r="B1920" s="4" t="s">
        <v>12508</v>
      </c>
    </row>
    <row r="1921">
      <c r="A1921" s="4" t="s">
        <v>12509</v>
      </c>
      <c r="B1921" s="4" t="s">
        <v>12510</v>
      </c>
    </row>
    <row r="1922">
      <c r="A1922" s="4" t="s">
        <v>12511</v>
      </c>
      <c r="B1922" s="4" t="s">
        <v>12512</v>
      </c>
    </row>
    <row r="1923">
      <c r="A1923" s="4" t="s">
        <v>12513</v>
      </c>
      <c r="B1923" s="4" t="s">
        <v>12514</v>
      </c>
    </row>
    <row r="1924">
      <c r="A1924" s="4" t="s">
        <v>12515</v>
      </c>
      <c r="B1924" s="4" t="s">
        <v>12516</v>
      </c>
    </row>
    <row r="1925">
      <c r="A1925" s="4" t="s">
        <v>12517</v>
      </c>
      <c r="B1925" s="4" t="s">
        <v>12518</v>
      </c>
    </row>
    <row r="1926">
      <c r="A1926" s="4" t="s">
        <v>12519</v>
      </c>
      <c r="B1926" s="4" t="s">
        <v>12520</v>
      </c>
    </row>
    <row r="1927">
      <c r="A1927" s="4" t="s">
        <v>12521</v>
      </c>
      <c r="B1927" s="4" t="s">
        <v>12522</v>
      </c>
    </row>
    <row r="1928">
      <c r="A1928" s="4" t="s">
        <v>12523</v>
      </c>
      <c r="B1928" s="4" t="s">
        <v>12524</v>
      </c>
    </row>
    <row r="1929">
      <c r="A1929" s="4" t="s">
        <v>12525</v>
      </c>
      <c r="B1929" s="4" t="s">
        <v>12526</v>
      </c>
    </row>
    <row r="1930">
      <c r="A1930" s="4" t="s">
        <v>12527</v>
      </c>
      <c r="B1930" s="4" t="s">
        <v>12528</v>
      </c>
    </row>
    <row r="1931">
      <c r="A1931" s="4" t="s">
        <v>12529</v>
      </c>
      <c r="B1931" s="4" t="s">
        <v>12530</v>
      </c>
    </row>
    <row r="1932">
      <c r="A1932" s="4" t="s">
        <v>12531</v>
      </c>
      <c r="B1932" s="4" t="s">
        <v>12532</v>
      </c>
    </row>
    <row r="1933">
      <c r="A1933" s="4" t="s">
        <v>12533</v>
      </c>
      <c r="B1933" s="4" t="s">
        <v>12534</v>
      </c>
    </row>
    <row r="1934">
      <c r="A1934" s="4" t="s">
        <v>12535</v>
      </c>
      <c r="B1934" s="4" t="s">
        <v>12536</v>
      </c>
    </row>
    <row r="1935">
      <c r="A1935" s="4" t="s">
        <v>12537</v>
      </c>
      <c r="B1935" s="4" t="s">
        <v>12538</v>
      </c>
    </row>
    <row r="1936">
      <c r="A1936" s="4" t="s">
        <v>12539</v>
      </c>
      <c r="B1936" s="4" t="s">
        <v>12540</v>
      </c>
    </row>
    <row r="1937">
      <c r="A1937" s="4" t="s">
        <v>12541</v>
      </c>
      <c r="B1937" s="4" t="s">
        <v>12542</v>
      </c>
    </row>
    <row r="1938">
      <c r="A1938" s="4" t="s">
        <v>12543</v>
      </c>
      <c r="B1938" s="4" t="s">
        <v>12544</v>
      </c>
    </row>
    <row r="1939">
      <c r="A1939" s="4" t="s">
        <v>12545</v>
      </c>
      <c r="B1939" s="4" t="s">
        <v>12546</v>
      </c>
    </row>
    <row r="1940">
      <c r="A1940" s="4" t="s">
        <v>12547</v>
      </c>
      <c r="B1940" s="4" t="s">
        <v>12548</v>
      </c>
    </row>
    <row r="1941">
      <c r="A1941" s="4" t="s">
        <v>12549</v>
      </c>
      <c r="B1941" s="4" t="s">
        <v>12550</v>
      </c>
    </row>
    <row r="1942">
      <c r="A1942" s="4" t="s">
        <v>12551</v>
      </c>
      <c r="B1942" s="4" t="s">
        <v>12552</v>
      </c>
    </row>
    <row r="1943">
      <c r="A1943" s="4" t="s">
        <v>12553</v>
      </c>
      <c r="B1943" s="4" t="s">
        <v>12554</v>
      </c>
    </row>
    <row r="1944">
      <c r="A1944" s="4" t="s">
        <v>12555</v>
      </c>
      <c r="B1944" s="4" t="s">
        <v>12556</v>
      </c>
    </row>
    <row r="1945">
      <c r="A1945" s="4" t="s">
        <v>12557</v>
      </c>
      <c r="B1945" s="4" t="s">
        <v>12558</v>
      </c>
    </row>
    <row r="1946">
      <c r="A1946" s="4" t="s">
        <v>12559</v>
      </c>
      <c r="B1946" s="4" t="s">
        <v>12560</v>
      </c>
    </row>
    <row r="1947">
      <c r="A1947" s="4" t="s">
        <v>12561</v>
      </c>
      <c r="B1947" s="4" t="s">
        <v>12562</v>
      </c>
    </row>
    <row r="1948">
      <c r="A1948" s="4" t="s">
        <v>12563</v>
      </c>
      <c r="B1948" s="4" t="s">
        <v>12564</v>
      </c>
    </row>
    <row r="1949">
      <c r="A1949" s="4" t="s">
        <v>12565</v>
      </c>
      <c r="B1949" s="4" t="s">
        <v>12566</v>
      </c>
    </row>
    <row r="1950">
      <c r="A1950" s="4" t="s">
        <v>12567</v>
      </c>
      <c r="B1950" s="4" t="s">
        <v>12568</v>
      </c>
    </row>
    <row r="1951">
      <c r="A1951" s="4" t="s">
        <v>12569</v>
      </c>
      <c r="B1951" s="4" t="s">
        <v>12570</v>
      </c>
    </row>
    <row r="1952">
      <c r="A1952" s="4" t="s">
        <v>12571</v>
      </c>
      <c r="B1952" s="4" t="s">
        <v>12572</v>
      </c>
    </row>
    <row r="1953">
      <c r="A1953" s="4" t="s">
        <v>12573</v>
      </c>
      <c r="B1953" s="4" t="s">
        <v>12574</v>
      </c>
    </row>
    <row r="1954">
      <c r="A1954" s="4" t="s">
        <v>12575</v>
      </c>
      <c r="B1954" s="4" t="s">
        <v>12576</v>
      </c>
    </row>
    <row r="1955">
      <c r="A1955" s="4" t="s">
        <v>12577</v>
      </c>
      <c r="B1955" s="4" t="s">
        <v>12578</v>
      </c>
    </row>
    <row r="1956">
      <c r="A1956" s="4" t="s">
        <v>12579</v>
      </c>
      <c r="B1956" s="4" t="s">
        <v>12580</v>
      </c>
    </row>
    <row r="1957">
      <c r="A1957" s="4" t="s">
        <v>12581</v>
      </c>
      <c r="B1957" s="4" t="s">
        <v>12582</v>
      </c>
    </row>
    <row r="1958">
      <c r="A1958" s="4" t="s">
        <v>12583</v>
      </c>
      <c r="B1958" s="4" t="s">
        <v>12584</v>
      </c>
    </row>
    <row r="1959">
      <c r="A1959" s="4" t="s">
        <v>12585</v>
      </c>
      <c r="B1959" s="4" t="s">
        <v>12586</v>
      </c>
    </row>
    <row r="1960">
      <c r="A1960" s="4" t="s">
        <v>12587</v>
      </c>
      <c r="B1960" s="4" t="s">
        <v>12588</v>
      </c>
    </row>
    <row r="1961">
      <c r="A1961" s="4" t="s">
        <v>12589</v>
      </c>
      <c r="B1961" s="4" t="s">
        <v>12590</v>
      </c>
    </row>
    <row r="1962">
      <c r="A1962" s="4" t="s">
        <v>12591</v>
      </c>
      <c r="B1962" s="4" t="s">
        <v>12592</v>
      </c>
    </row>
    <row r="1963">
      <c r="A1963" s="4" t="s">
        <v>12593</v>
      </c>
      <c r="B1963" s="4" t="s">
        <v>12594</v>
      </c>
    </row>
    <row r="1964">
      <c r="A1964" s="4" t="s">
        <v>12595</v>
      </c>
      <c r="B1964" s="4" t="s">
        <v>12596</v>
      </c>
    </row>
    <row r="1965">
      <c r="A1965" s="4" t="s">
        <v>12597</v>
      </c>
      <c r="B1965" s="4" t="s">
        <v>12598</v>
      </c>
    </row>
    <row r="1966">
      <c r="A1966" s="4" t="s">
        <v>12599</v>
      </c>
      <c r="B1966" s="4" t="s">
        <v>12600</v>
      </c>
    </row>
    <row r="1967">
      <c r="A1967" s="4" t="s">
        <v>12601</v>
      </c>
      <c r="B1967" s="4" t="s">
        <v>12602</v>
      </c>
    </row>
    <row r="1968">
      <c r="A1968" s="4" t="s">
        <v>12603</v>
      </c>
      <c r="B1968" s="4" t="s">
        <v>12604</v>
      </c>
    </row>
    <row r="1969">
      <c r="A1969" s="4" t="s">
        <v>12605</v>
      </c>
      <c r="B1969" s="4" t="s">
        <v>12606</v>
      </c>
    </row>
    <row r="1970">
      <c r="A1970" s="4" t="s">
        <v>12607</v>
      </c>
      <c r="B1970" s="4" t="s">
        <v>12608</v>
      </c>
    </row>
    <row r="1971">
      <c r="A1971" s="4" t="s">
        <v>12609</v>
      </c>
      <c r="B1971" s="4" t="s">
        <v>12610</v>
      </c>
    </row>
    <row r="1972">
      <c r="A1972" s="4" t="s">
        <v>12611</v>
      </c>
      <c r="B1972" s="4" t="s">
        <v>12612</v>
      </c>
    </row>
    <row r="1973">
      <c r="A1973" s="4" t="s">
        <v>12613</v>
      </c>
      <c r="B1973" s="4" t="s">
        <v>12614</v>
      </c>
    </row>
    <row r="1974">
      <c r="A1974" s="4" t="s">
        <v>12615</v>
      </c>
      <c r="B1974" s="4" t="s">
        <v>12616</v>
      </c>
    </row>
    <row r="1975">
      <c r="A1975" s="4" t="s">
        <v>12617</v>
      </c>
      <c r="B1975" s="4" t="s">
        <v>12618</v>
      </c>
    </row>
    <row r="1976">
      <c r="A1976" s="4" t="s">
        <v>12619</v>
      </c>
      <c r="B1976" s="4" t="s">
        <v>12620</v>
      </c>
    </row>
    <row r="1977">
      <c r="A1977" s="4" t="s">
        <v>12621</v>
      </c>
      <c r="B1977" s="4" t="s">
        <v>12622</v>
      </c>
    </row>
    <row r="1978">
      <c r="A1978" s="4" t="s">
        <v>12623</v>
      </c>
      <c r="B1978" s="4" t="s">
        <v>12624</v>
      </c>
    </row>
    <row r="1979">
      <c r="A1979" s="4" t="s">
        <v>12625</v>
      </c>
      <c r="B1979" s="4" t="s">
        <v>12626</v>
      </c>
    </row>
    <row r="1980">
      <c r="A1980" s="4" t="s">
        <v>12627</v>
      </c>
      <c r="B1980" s="4" t="s">
        <v>12628</v>
      </c>
    </row>
    <row r="1981">
      <c r="A1981" s="4" t="s">
        <v>12629</v>
      </c>
      <c r="B1981" s="4" t="s">
        <v>12630</v>
      </c>
    </row>
    <row r="1982">
      <c r="A1982" s="4" t="s">
        <v>12631</v>
      </c>
      <c r="B1982" s="4" t="s">
        <v>12632</v>
      </c>
    </row>
    <row r="1983">
      <c r="A1983" s="4" t="s">
        <v>12633</v>
      </c>
      <c r="B1983" s="4" t="s">
        <v>12634</v>
      </c>
    </row>
    <row r="1984">
      <c r="A1984" s="4" t="s">
        <v>12635</v>
      </c>
      <c r="B1984" s="4" t="s">
        <v>12636</v>
      </c>
    </row>
    <row r="1985">
      <c r="A1985" s="4" t="s">
        <v>12637</v>
      </c>
      <c r="B1985" s="4" t="s">
        <v>12638</v>
      </c>
    </row>
    <row r="1986">
      <c r="A1986" s="4" t="s">
        <v>12639</v>
      </c>
      <c r="B1986" s="4" t="s">
        <v>12640</v>
      </c>
    </row>
    <row r="1987">
      <c r="A1987" s="4" t="s">
        <v>12641</v>
      </c>
      <c r="B1987" s="4" t="s">
        <v>12642</v>
      </c>
    </row>
    <row r="1988">
      <c r="A1988" s="4" t="s">
        <v>12643</v>
      </c>
      <c r="B1988" s="4" t="s">
        <v>12644</v>
      </c>
    </row>
    <row r="1989">
      <c r="A1989" s="4" t="s">
        <v>12645</v>
      </c>
      <c r="B1989" s="4" t="s">
        <v>12646</v>
      </c>
    </row>
    <row r="1990">
      <c r="A1990" s="4" t="s">
        <v>12647</v>
      </c>
      <c r="B1990" s="4" t="s">
        <v>12648</v>
      </c>
    </row>
    <row r="1991">
      <c r="A1991" s="4" t="s">
        <v>12649</v>
      </c>
      <c r="B1991" s="4" t="s">
        <v>12650</v>
      </c>
    </row>
    <row r="1992">
      <c r="A1992" s="4" t="s">
        <v>12651</v>
      </c>
      <c r="B1992" s="4" t="s">
        <v>12652</v>
      </c>
    </row>
    <row r="1993">
      <c r="A1993" s="4" t="s">
        <v>12653</v>
      </c>
      <c r="B1993" s="4" t="s">
        <v>12654</v>
      </c>
    </row>
    <row r="1994">
      <c r="A1994" s="4" t="s">
        <v>12655</v>
      </c>
      <c r="B1994" s="4" t="s">
        <v>12656</v>
      </c>
    </row>
    <row r="1995">
      <c r="A1995" s="4" t="s">
        <v>12657</v>
      </c>
      <c r="B1995" s="4" t="s">
        <v>12658</v>
      </c>
    </row>
    <row r="1996">
      <c r="A1996" s="4" t="s">
        <v>12659</v>
      </c>
      <c r="B1996" s="4" t="s">
        <v>12660</v>
      </c>
    </row>
    <row r="1997">
      <c r="A1997" s="4" t="s">
        <v>12661</v>
      </c>
      <c r="B1997" s="4" t="s">
        <v>12662</v>
      </c>
    </row>
    <row r="1998">
      <c r="A1998" s="4" t="s">
        <v>12663</v>
      </c>
      <c r="B1998" s="4" t="s">
        <v>12664</v>
      </c>
    </row>
    <row r="1999">
      <c r="A1999" s="4" t="s">
        <v>12665</v>
      </c>
      <c r="B1999" s="4" t="s">
        <v>12666</v>
      </c>
    </row>
    <row r="2000">
      <c r="A2000" s="4" t="s">
        <v>12667</v>
      </c>
      <c r="B2000" s="4" t="s">
        <v>12668</v>
      </c>
    </row>
    <row r="2001">
      <c r="A2001" s="4" t="s">
        <v>12669</v>
      </c>
      <c r="B2001" s="4" t="s">
        <v>12670</v>
      </c>
    </row>
    <row r="2002">
      <c r="A2002" s="4" t="s">
        <v>12671</v>
      </c>
      <c r="B2002" s="4" t="s">
        <v>12672</v>
      </c>
    </row>
    <row r="2003">
      <c r="A2003" s="4" t="s">
        <v>12673</v>
      </c>
      <c r="B2003" s="4" t="s">
        <v>12674</v>
      </c>
    </row>
    <row r="2004">
      <c r="A2004" s="4" t="s">
        <v>12675</v>
      </c>
      <c r="B2004" s="4" t="s">
        <v>12676</v>
      </c>
    </row>
    <row r="2005">
      <c r="A2005" s="4" t="s">
        <v>12677</v>
      </c>
      <c r="B2005" s="4" t="s">
        <v>12678</v>
      </c>
    </row>
    <row r="2006">
      <c r="A2006" s="4" t="s">
        <v>12679</v>
      </c>
      <c r="B2006" s="4" t="s">
        <v>12680</v>
      </c>
    </row>
    <row r="2007">
      <c r="A2007" s="4" t="s">
        <v>12681</v>
      </c>
      <c r="B2007" s="4" t="s">
        <v>12682</v>
      </c>
    </row>
    <row r="2008">
      <c r="A2008" s="4" t="s">
        <v>12683</v>
      </c>
      <c r="B2008" s="4" t="s">
        <v>12684</v>
      </c>
    </row>
    <row r="2009">
      <c r="A2009" s="4" t="s">
        <v>12685</v>
      </c>
      <c r="B2009" s="4" t="s">
        <v>12686</v>
      </c>
    </row>
    <row r="2010">
      <c r="A2010" s="4" t="s">
        <v>12687</v>
      </c>
      <c r="B2010" s="4" t="s">
        <v>12688</v>
      </c>
    </row>
    <row r="2011">
      <c r="A2011" s="4" t="s">
        <v>12689</v>
      </c>
      <c r="B2011" s="4" t="s">
        <v>12690</v>
      </c>
    </row>
    <row r="2012">
      <c r="A2012" s="4" t="s">
        <v>12691</v>
      </c>
      <c r="B2012" s="4" t="s">
        <v>12692</v>
      </c>
    </row>
    <row r="2013">
      <c r="A2013" s="4" t="s">
        <v>12693</v>
      </c>
      <c r="B2013" s="4" t="s">
        <v>12694</v>
      </c>
    </row>
    <row r="2014">
      <c r="A2014" s="4" t="s">
        <v>12695</v>
      </c>
      <c r="B2014" s="4" t="s">
        <v>12696</v>
      </c>
    </row>
    <row r="2015">
      <c r="A2015" s="4" t="s">
        <v>12697</v>
      </c>
      <c r="B2015" s="4" t="s">
        <v>12698</v>
      </c>
    </row>
    <row r="2016">
      <c r="A2016" s="4" t="s">
        <v>12699</v>
      </c>
      <c r="B2016" s="4" t="s">
        <v>12700</v>
      </c>
    </row>
    <row r="2017">
      <c r="A2017" s="4" t="s">
        <v>12701</v>
      </c>
      <c r="B2017" s="4" t="s">
        <v>12702</v>
      </c>
    </row>
    <row r="2018">
      <c r="A2018" s="4" t="s">
        <v>12703</v>
      </c>
      <c r="B2018" s="4" t="s">
        <v>12704</v>
      </c>
    </row>
    <row r="2019">
      <c r="A2019" s="4" t="s">
        <v>12705</v>
      </c>
      <c r="B2019" s="4" t="s">
        <v>12706</v>
      </c>
    </row>
    <row r="2020">
      <c r="A2020" s="4" t="s">
        <v>12707</v>
      </c>
      <c r="B2020" s="4" t="s">
        <v>12708</v>
      </c>
    </row>
    <row r="2021">
      <c r="A2021" s="4" t="s">
        <v>12709</v>
      </c>
      <c r="B2021" s="4" t="s">
        <v>12710</v>
      </c>
    </row>
    <row r="2022">
      <c r="A2022" s="4" t="s">
        <v>12711</v>
      </c>
      <c r="B2022" s="4" t="s">
        <v>12712</v>
      </c>
    </row>
    <row r="2023">
      <c r="A2023" s="4" t="s">
        <v>12713</v>
      </c>
      <c r="B2023" s="4" t="s">
        <v>12714</v>
      </c>
    </row>
    <row r="2024">
      <c r="A2024" s="4" t="s">
        <v>12715</v>
      </c>
      <c r="B2024" s="4" t="s">
        <v>12716</v>
      </c>
    </row>
    <row r="2025">
      <c r="A2025" s="4" t="s">
        <v>12717</v>
      </c>
      <c r="B2025" s="4" t="s">
        <v>12718</v>
      </c>
    </row>
    <row r="2026">
      <c r="A2026" s="4" t="s">
        <v>12719</v>
      </c>
      <c r="B2026" s="4" t="s">
        <v>12720</v>
      </c>
    </row>
    <row r="2027">
      <c r="A2027" s="4" t="s">
        <v>12721</v>
      </c>
      <c r="B2027" s="4" t="s">
        <v>12722</v>
      </c>
    </row>
    <row r="2028">
      <c r="A2028" s="4" t="s">
        <v>12723</v>
      </c>
      <c r="B2028" s="4" t="s">
        <v>12724</v>
      </c>
    </row>
    <row r="2029">
      <c r="A2029" s="4" t="s">
        <v>12725</v>
      </c>
      <c r="B2029" s="4" t="s">
        <v>12726</v>
      </c>
    </row>
    <row r="2030">
      <c r="A2030" s="4" t="s">
        <v>12727</v>
      </c>
      <c r="B2030" s="4" t="s">
        <v>12728</v>
      </c>
    </row>
    <row r="2031">
      <c r="A2031" s="4" t="s">
        <v>12729</v>
      </c>
      <c r="B2031" s="4" t="s">
        <v>12730</v>
      </c>
    </row>
    <row r="2032">
      <c r="A2032" s="4" t="s">
        <v>12731</v>
      </c>
      <c r="B2032" s="4" t="s">
        <v>12732</v>
      </c>
    </row>
    <row r="2033">
      <c r="A2033" s="4" t="s">
        <v>12733</v>
      </c>
      <c r="B2033" s="4" t="s">
        <v>12734</v>
      </c>
    </row>
    <row r="2034">
      <c r="A2034" s="4" t="s">
        <v>12735</v>
      </c>
      <c r="B2034" s="4" t="s">
        <v>12736</v>
      </c>
    </row>
    <row r="2035">
      <c r="A2035" s="4" t="s">
        <v>12737</v>
      </c>
      <c r="B2035" s="4" t="s">
        <v>12738</v>
      </c>
    </row>
    <row r="2036">
      <c r="A2036" s="4" t="s">
        <v>12739</v>
      </c>
      <c r="B2036" s="4" t="s">
        <v>12740</v>
      </c>
    </row>
    <row r="2037">
      <c r="A2037" s="4" t="s">
        <v>12741</v>
      </c>
      <c r="B2037" s="4" t="s">
        <v>12742</v>
      </c>
    </row>
    <row r="2038">
      <c r="A2038" s="4" t="s">
        <v>12743</v>
      </c>
      <c r="B2038" s="4" t="s">
        <v>12744</v>
      </c>
    </row>
    <row r="2039">
      <c r="A2039" s="4" t="s">
        <v>12745</v>
      </c>
      <c r="B2039" s="4" t="s">
        <v>12746</v>
      </c>
    </row>
    <row r="2040">
      <c r="A2040" s="4" t="s">
        <v>12747</v>
      </c>
      <c r="B2040" s="4" t="s">
        <v>12748</v>
      </c>
    </row>
    <row r="2041">
      <c r="A2041" s="4" t="s">
        <v>12749</v>
      </c>
      <c r="B2041" s="4" t="s">
        <v>12750</v>
      </c>
    </row>
    <row r="2042">
      <c r="A2042" s="4" t="s">
        <v>12751</v>
      </c>
      <c r="B2042" s="4" t="s">
        <v>12752</v>
      </c>
    </row>
    <row r="2043">
      <c r="A2043" s="4" t="s">
        <v>12753</v>
      </c>
      <c r="B2043" s="4" t="s">
        <v>12754</v>
      </c>
    </row>
    <row r="2044">
      <c r="A2044" s="4" t="s">
        <v>12755</v>
      </c>
      <c r="B2044" s="4" t="s">
        <v>12756</v>
      </c>
    </row>
    <row r="2045">
      <c r="A2045" s="4" t="s">
        <v>12757</v>
      </c>
      <c r="B2045" s="4" t="s">
        <v>12758</v>
      </c>
    </row>
    <row r="2046">
      <c r="A2046" s="4" t="s">
        <v>12759</v>
      </c>
      <c r="B2046" s="4" t="s">
        <v>12760</v>
      </c>
    </row>
    <row r="2047">
      <c r="A2047" s="4" t="s">
        <v>12761</v>
      </c>
      <c r="B2047" s="4" t="s">
        <v>12762</v>
      </c>
    </row>
    <row r="2048">
      <c r="A2048" s="4" t="s">
        <v>12763</v>
      </c>
      <c r="B2048" s="4" t="s">
        <v>12764</v>
      </c>
    </row>
    <row r="2049">
      <c r="A2049" s="4" t="s">
        <v>12765</v>
      </c>
      <c r="B2049" s="4" t="s">
        <v>12766</v>
      </c>
    </row>
    <row r="2050">
      <c r="A2050" s="4" t="s">
        <v>12767</v>
      </c>
      <c r="B2050" s="4" t="s">
        <v>12768</v>
      </c>
    </row>
    <row r="2051">
      <c r="A2051" s="4" t="s">
        <v>12769</v>
      </c>
      <c r="B2051" s="4" t="s">
        <v>12770</v>
      </c>
    </row>
    <row r="2052">
      <c r="A2052" s="4" t="s">
        <v>12771</v>
      </c>
      <c r="B2052" s="4" t="s">
        <v>12772</v>
      </c>
    </row>
    <row r="2053">
      <c r="A2053" s="4" t="s">
        <v>12773</v>
      </c>
      <c r="B2053" s="4" t="s">
        <v>12774</v>
      </c>
    </row>
    <row r="2054">
      <c r="A2054" s="4" t="s">
        <v>12775</v>
      </c>
      <c r="B2054" s="4" t="s">
        <v>12776</v>
      </c>
    </row>
    <row r="2055">
      <c r="A2055" s="4" t="s">
        <v>12777</v>
      </c>
      <c r="B2055" s="4" t="s">
        <v>12778</v>
      </c>
    </row>
    <row r="2056">
      <c r="A2056" s="4" t="s">
        <v>12779</v>
      </c>
      <c r="B2056" s="4" t="s">
        <v>12780</v>
      </c>
    </row>
    <row r="2057">
      <c r="A2057" s="4" t="s">
        <v>12781</v>
      </c>
      <c r="B2057" s="4" t="s">
        <v>12782</v>
      </c>
    </row>
    <row r="2058">
      <c r="A2058" s="4" t="s">
        <v>12783</v>
      </c>
      <c r="B2058" s="4" t="s">
        <v>12784</v>
      </c>
    </row>
    <row r="2059">
      <c r="A2059" s="4" t="s">
        <v>12785</v>
      </c>
      <c r="B2059" s="4" t="s">
        <v>12786</v>
      </c>
    </row>
    <row r="2060">
      <c r="A2060" s="4" t="s">
        <v>12787</v>
      </c>
      <c r="B2060" s="4" t="s">
        <v>12788</v>
      </c>
    </row>
    <row r="2061">
      <c r="A2061" s="4" t="s">
        <v>12789</v>
      </c>
      <c r="B2061" s="4" t="s">
        <v>12790</v>
      </c>
    </row>
    <row r="2062">
      <c r="A2062" s="4" t="s">
        <v>12791</v>
      </c>
      <c r="B2062" s="4" t="s">
        <v>12792</v>
      </c>
    </row>
    <row r="2063">
      <c r="A2063" s="4" t="s">
        <v>12793</v>
      </c>
      <c r="B2063" s="4" t="s">
        <v>12794</v>
      </c>
    </row>
    <row r="2064">
      <c r="A2064" s="4" t="s">
        <v>12795</v>
      </c>
      <c r="B2064" s="4" t="s">
        <v>12796</v>
      </c>
    </row>
    <row r="2065">
      <c r="A2065" s="4" t="s">
        <v>12797</v>
      </c>
      <c r="B2065" s="4" t="s">
        <v>12798</v>
      </c>
    </row>
    <row r="2066">
      <c r="A2066" s="4" t="s">
        <v>12799</v>
      </c>
      <c r="B2066" s="4" t="s">
        <v>12800</v>
      </c>
    </row>
    <row r="2067">
      <c r="A2067" s="4" t="s">
        <v>12801</v>
      </c>
      <c r="B2067" s="4" t="s">
        <v>12802</v>
      </c>
    </row>
    <row r="2068">
      <c r="A2068" s="4" t="s">
        <v>12803</v>
      </c>
      <c r="B2068" s="4" t="s">
        <v>12804</v>
      </c>
    </row>
    <row r="2069">
      <c r="A2069" s="4" t="s">
        <v>12805</v>
      </c>
      <c r="B2069" s="4" t="s">
        <v>12806</v>
      </c>
    </row>
    <row r="2070">
      <c r="A2070" s="4" t="s">
        <v>12807</v>
      </c>
      <c r="B2070" s="4" t="s">
        <v>12808</v>
      </c>
    </row>
    <row r="2071">
      <c r="A2071" s="4" t="s">
        <v>12809</v>
      </c>
      <c r="B2071" s="4" t="s">
        <v>12810</v>
      </c>
    </row>
    <row r="2072">
      <c r="A2072" s="4" t="s">
        <v>12811</v>
      </c>
      <c r="B2072" s="4" t="s">
        <v>12812</v>
      </c>
    </row>
    <row r="2073">
      <c r="A2073" s="4" t="s">
        <v>12813</v>
      </c>
      <c r="B2073" s="4" t="s">
        <v>12814</v>
      </c>
    </row>
    <row r="2074">
      <c r="A2074" s="4" t="s">
        <v>12815</v>
      </c>
      <c r="B2074" s="4" t="s">
        <v>12816</v>
      </c>
    </row>
    <row r="2075">
      <c r="A2075" s="4" t="s">
        <v>12817</v>
      </c>
      <c r="B2075" s="4" t="s">
        <v>12818</v>
      </c>
    </row>
    <row r="2076">
      <c r="A2076" s="4" t="s">
        <v>12819</v>
      </c>
      <c r="B2076" s="4" t="s">
        <v>12820</v>
      </c>
    </row>
    <row r="2077">
      <c r="A2077" s="4" t="s">
        <v>12821</v>
      </c>
      <c r="B2077" s="4" t="s">
        <v>12822</v>
      </c>
    </row>
    <row r="2078">
      <c r="A2078" s="4" t="s">
        <v>12823</v>
      </c>
      <c r="B2078" s="4" t="s">
        <v>12824</v>
      </c>
    </row>
    <row r="2079">
      <c r="A2079" s="4" t="s">
        <v>12825</v>
      </c>
      <c r="B2079" s="4" t="s">
        <v>12826</v>
      </c>
    </row>
    <row r="2080">
      <c r="A2080" s="4" t="s">
        <v>12827</v>
      </c>
      <c r="B2080" s="4" t="s">
        <v>12828</v>
      </c>
    </row>
    <row r="2081">
      <c r="A2081" s="4" t="s">
        <v>12829</v>
      </c>
      <c r="B2081" s="4" t="s">
        <v>12830</v>
      </c>
    </row>
    <row r="2082">
      <c r="A2082" s="4" t="s">
        <v>12831</v>
      </c>
      <c r="B2082" s="4" t="s">
        <v>12832</v>
      </c>
    </row>
    <row r="2083">
      <c r="A2083" s="4" t="s">
        <v>12833</v>
      </c>
      <c r="B2083" s="4" t="s">
        <v>12834</v>
      </c>
    </row>
    <row r="2084">
      <c r="A2084" s="4" t="s">
        <v>12835</v>
      </c>
      <c r="B2084" s="4" t="s">
        <v>12836</v>
      </c>
    </row>
    <row r="2085">
      <c r="A2085" s="4" t="s">
        <v>12837</v>
      </c>
      <c r="B2085" s="4" t="s">
        <v>12838</v>
      </c>
    </row>
    <row r="2086">
      <c r="A2086" s="4" t="s">
        <v>12839</v>
      </c>
      <c r="B2086" s="4" t="s">
        <v>12840</v>
      </c>
    </row>
    <row r="2087">
      <c r="A2087" s="4" t="s">
        <v>12841</v>
      </c>
      <c r="B2087" s="4" t="s">
        <v>12842</v>
      </c>
    </row>
    <row r="2088">
      <c r="A2088" s="4" t="s">
        <v>12843</v>
      </c>
      <c r="B2088" s="4" t="s">
        <v>12844</v>
      </c>
    </row>
    <row r="2089">
      <c r="A2089" s="4" t="s">
        <v>12845</v>
      </c>
      <c r="B2089" s="4" t="s">
        <v>12846</v>
      </c>
    </row>
    <row r="2090">
      <c r="A2090" s="4" t="s">
        <v>12847</v>
      </c>
      <c r="B2090" s="4" t="s">
        <v>12848</v>
      </c>
    </row>
    <row r="2091">
      <c r="A2091" s="4" t="s">
        <v>12849</v>
      </c>
      <c r="B2091" s="4" t="s">
        <v>12850</v>
      </c>
    </row>
    <row r="2092">
      <c r="A2092" s="4" t="s">
        <v>12851</v>
      </c>
      <c r="B2092" s="4" t="s">
        <v>12852</v>
      </c>
    </row>
    <row r="2093">
      <c r="A2093" s="4" t="s">
        <v>12853</v>
      </c>
      <c r="B2093" s="4" t="s">
        <v>12854</v>
      </c>
    </row>
    <row r="2094">
      <c r="A2094" s="4" t="s">
        <v>12855</v>
      </c>
      <c r="B2094" s="4" t="s">
        <v>12856</v>
      </c>
    </row>
    <row r="2095">
      <c r="A2095" s="4" t="s">
        <v>12857</v>
      </c>
      <c r="B2095" s="4" t="s">
        <v>12858</v>
      </c>
    </row>
    <row r="2096">
      <c r="A2096" s="4" t="s">
        <v>12859</v>
      </c>
      <c r="B2096" s="4" t="s">
        <v>12860</v>
      </c>
    </row>
    <row r="2097">
      <c r="A2097" s="4" t="s">
        <v>12861</v>
      </c>
      <c r="B2097" s="4" t="s">
        <v>12862</v>
      </c>
    </row>
    <row r="2098">
      <c r="A2098" s="4" t="s">
        <v>12863</v>
      </c>
      <c r="B2098" s="4" t="s">
        <v>12864</v>
      </c>
    </row>
    <row r="2099">
      <c r="A2099" s="4" t="s">
        <v>12865</v>
      </c>
      <c r="B2099" s="4" t="s">
        <v>12866</v>
      </c>
    </row>
    <row r="2100">
      <c r="A2100" s="4" t="s">
        <v>12867</v>
      </c>
      <c r="B2100" s="4" t="s">
        <v>12868</v>
      </c>
    </row>
    <row r="2101">
      <c r="A2101" s="4" t="s">
        <v>12869</v>
      </c>
      <c r="B2101" s="4" t="s">
        <v>12870</v>
      </c>
    </row>
    <row r="2102">
      <c r="A2102" s="4" t="s">
        <v>12871</v>
      </c>
      <c r="B2102" s="4" t="s">
        <v>12872</v>
      </c>
    </row>
    <row r="2103">
      <c r="A2103" s="4" t="s">
        <v>12873</v>
      </c>
      <c r="B2103" s="4" t="s">
        <v>12874</v>
      </c>
    </row>
    <row r="2104">
      <c r="A2104" s="4" t="s">
        <v>12875</v>
      </c>
      <c r="B2104" s="4" t="s">
        <v>12876</v>
      </c>
    </row>
    <row r="2105">
      <c r="A2105" s="4" t="s">
        <v>12877</v>
      </c>
      <c r="B2105" s="4" t="s">
        <v>12878</v>
      </c>
    </row>
    <row r="2106">
      <c r="A2106" s="4" t="s">
        <v>12879</v>
      </c>
      <c r="B2106" s="4" t="s">
        <v>12880</v>
      </c>
    </row>
    <row r="2107">
      <c r="A2107" s="4" t="s">
        <v>12881</v>
      </c>
      <c r="B2107" s="4" t="s">
        <v>12882</v>
      </c>
    </row>
    <row r="2108">
      <c r="A2108" s="4" t="s">
        <v>12883</v>
      </c>
      <c r="B2108" s="4" t="s">
        <v>12884</v>
      </c>
    </row>
    <row r="2109">
      <c r="A2109" s="4" t="s">
        <v>12885</v>
      </c>
      <c r="B2109" s="4" t="s">
        <v>12886</v>
      </c>
    </row>
    <row r="2110">
      <c r="A2110" s="4" t="s">
        <v>12887</v>
      </c>
      <c r="B2110" s="4" t="s">
        <v>12888</v>
      </c>
    </row>
    <row r="2111">
      <c r="A2111" s="4" t="s">
        <v>12889</v>
      </c>
      <c r="B2111" s="4" t="s">
        <v>12890</v>
      </c>
    </row>
    <row r="2112">
      <c r="A2112" s="4" t="s">
        <v>12891</v>
      </c>
      <c r="B2112" s="4" t="s">
        <v>12892</v>
      </c>
    </row>
    <row r="2113">
      <c r="A2113" s="4" t="s">
        <v>12893</v>
      </c>
      <c r="B2113" s="4" t="s">
        <v>12894</v>
      </c>
    </row>
    <row r="2114">
      <c r="A2114" s="4" t="s">
        <v>12895</v>
      </c>
      <c r="B2114" s="4" t="s">
        <v>12896</v>
      </c>
    </row>
    <row r="2115">
      <c r="A2115" s="4" t="s">
        <v>12897</v>
      </c>
      <c r="B2115" s="4" t="s">
        <v>12898</v>
      </c>
    </row>
    <row r="2116">
      <c r="A2116" s="4" t="s">
        <v>12899</v>
      </c>
      <c r="B2116" s="4" t="s">
        <v>12900</v>
      </c>
    </row>
    <row r="2117">
      <c r="A2117" s="4" t="s">
        <v>12901</v>
      </c>
      <c r="B2117" s="4" t="s">
        <v>12902</v>
      </c>
    </row>
    <row r="2118">
      <c r="A2118" s="4" t="s">
        <v>12903</v>
      </c>
      <c r="B2118" s="4" t="s">
        <v>12904</v>
      </c>
    </row>
    <row r="2119">
      <c r="A2119" s="4" t="s">
        <v>12905</v>
      </c>
      <c r="B2119" s="4" t="s">
        <v>12906</v>
      </c>
    </row>
    <row r="2120">
      <c r="A2120" s="4" t="s">
        <v>12907</v>
      </c>
      <c r="B2120" s="4" t="s">
        <v>12908</v>
      </c>
    </row>
    <row r="2121">
      <c r="A2121" s="4" t="s">
        <v>12909</v>
      </c>
      <c r="B2121" s="4" t="s">
        <v>12910</v>
      </c>
    </row>
    <row r="2122">
      <c r="A2122" s="4" t="s">
        <v>12911</v>
      </c>
      <c r="B2122" s="4" t="s">
        <v>12912</v>
      </c>
    </row>
    <row r="2123">
      <c r="A2123" s="4" t="s">
        <v>12913</v>
      </c>
      <c r="B2123" s="4" t="s">
        <v>12914</v>
      </c>
    </row>
    <row r="2124">
      <c r="A2124" s="4" t="s">
        <v>12915</v>
      </c>
      <c r="B2124" s="4" t="s">
        <v>12916</v>
      </c>
    </row>
    <row r="2125">
      <c r="A2125" s="4" t="s">
        <v>12917</v>
      </c>
      <c r="B2125" s="4" t="s">
        <v>12918</v>
      </c>
    </row>
    <row r="2126">
      <c r="A2126" s="4" t="s">
        <v>12919</v>
      </c>
      <c r="B2126" s="4" t="s">
        <v>12920</v>
      </c>
    </row>
    <row r="2127">
      <c r="A2127" s="4" t="s">
        <v>12921</v>
      </c>
      <c r="B2127" s="4" t="s">
        <v>12922</v>
      </c>
    </row>
    <row r="2128">
      <c r="A2128" s="4" t="s">
        <v>12923</v>
      </c>
      <c r="B2128" s="4" t="s">
        <v>12924</v>
      </c>
    </row>
    <row r="2129">
      <c r="A2129" s="4" t="s">
        <v>12925</v>
      </c>
      <c r="B2129" s="4" t="s">
        <v>12926</v>
      </c>
    </row>
    <row r="2130">
      <c r="A2130" s="4" t="s">
        <v>12927</v>
      </c>
      <c r="B2130" s="4" t="s">
        <v>12928</v>
      </c>
    </row>
    <row r="2131">
      <c r="A2131" s="4" t="s">
        <v>12929</v>
      </c>
      <c r="B2131" s="4" t="s">
        <v>12930</v>
      </c>
    </row>
    <row r="2132">
      <c r="A2132" s="4" t="s">
        <v>12931</v>
      </c>
      <c r="B2132" s="4" t="s">
        <v>12932</v>
      </c>
    </row>
    <row r="2133">
      <c r="A2133" s="4" t="s">
        <v>12933</v>
      </c>
      <c r="B2133" s="4" t="s">
        <v>12934</v>
      </c>
    </row>
    <row r="2134">
      <c r="A2134" s="4" t="s">
        <v>12935</v>
      </c>
      <c r="B2134" s="4" t="s">
        <v>12936</v>
      </c>
    </row>
    <row r="2135">
      <c r="A2135" s="4" t="s">
        <v>12937</v>
      </c>
      <c r="B2135" s="4" t="s">
        <v>12938</v>
      </c>
    </row>
    <row r="2136">
      <c r="A2136" s="4" t="s">
        <v>12939</v>
      </c>
      <c r="B2136" s="4" t="s">
        <v>12940</v>
      </c>
    </row>
    <row r="2137">
      <c r="A2137" s="4" t="s">
        <v>12941</v>
      </c>
      <c r="B2137" s="4" t="s">
        <v>12942</v>
      </c>
    </row>
    <row r="2138">
      <c r="A2138" s="4" t="s">
        <v>12943</v>
      </c>
      <c r="B2138" s="4" t="s">
        <v>12944</v>
      </c>
    </row>
    <row r="2139">
      <c r="A2139" s="4" t="s">
        <v>12945</v>
      </c>
      <c r="B2139" s="4" t="s">
        <v>12946</v>
      </c>
    </row>
    <row r="2140">
      <c r="A2140" s="4" t="s">
        <v>12947</v>
      </c>
      <c r="B2140" s="4" t="s">
        <v>12948</v>
      </c>
    </row>
    <row r="2141">
      <c r="A2141" s="4" t="s">
        <v>12949</v>
      </c>
      <c r="B2141" s="4" t="s">
        <v>12950</v>
      </c>
    </row>
    <row r="2142">
      <c r="A2142" s="4" t="s">
        <v>12951</v>
      </c>
      <c r="B2142" s="4" t="s">
        <v>12952</v>
      </c>
    </row>
    <row r="2143">
      <c r="A2143" s="4" t="s">
        <v>12953</v>
      </c>
      <c r="B2143" s="4" t="s">
        <v>12954</v>
      </c>
    </row>
    <row r="2144">
      <c r="A2144" s="4" t="s">
        <v>12955</v>
      </c>
      <c r="B2144" s="4" t="s">
        <v>12956</v>
      </c>
    </row>
    <row r="2145">
      <c r="A2145" s="4" t="s">
        <v>12957</v>
      </c>
      <c r="B2145" s="4" t="s">
        <v>12958</v>
      </c>
    </row>
    <row r="2146">
      <c r="A2146" s="4" t="s">
        <v>12959</v>
      </c>
      <c r="B2146" s="4" t="s">
        <v>12960</v>
      </c>
    </row>
    <row r="2147">
      <c r="A2147" s="4" t="s">
        <v>12961</v>
      </c>
      <c r="B2147" s="4" t="s">
        <v>12962</v>
      </c>
    </row>
    <row r="2148">
      <c r="A2148" s="4" t="s">
        <v>12963</v>
      </c>
      <c r="B2148" s="4" t="s">
        <v>12964</v>
      </c>
    </row>
    <row r="2149">
      <c r="A2149" s="4" t="s">
        <v>12965</v>
      </c>
      <c r="B2149" s="4" t="s">
        <v>12966</v>
      </c>
    </row>
    <row r="2150">
      <c r="A2150" s="4" t="s">
        <v>12967</v>
      </c>
      <c r="B2150" s="4" t="s">
        <v>12968</v>
      </c>
    </row>
    <row r="2151">
      <c r="A2151" s="4" t="s">
        <v>12969</v>
      </c>
      <c r="B2151" s="4" t="s">
        <v>12970</v>
      </c>
    </row>
    <row r="2152">
      <c r="A2152" s="4" t="s">
        <v>12971</v>
      </c>
      <c r="B2152" s="4" t="s">
        <v>12972</v>
      </c>
    </row>
    <row r="2153">
      <c r="A2153" s="4" t="s">
        <v>12973</v>
      </c>
      <c r="B2153" s="4" t="s">
        <v>12974</v>
      </c>
    </row>
    <row r="2154">
      <c r="A2154" s="4" t="s">
        <v>12975</v>
      </c>
      <c r="B2154" s="4" t="s">
        <v>12976</v>
      </c>
    </row>
    <row r="2155">
      <c r="A2155" s="4" t="s">
        <v>12977</v>
      </c>
      <c r="B2155" s="4" t="s">
        <v>12978</v>
      </c>
    </row>
    <row r="2156">
      <c r="A2156" s="4" t="s">
        <v>12979</v>
      </c>
      <c r="B2156" s="4" t="s">
        <v>12980</v>
      </c>
    </row>
    <row r="2157">
      <c r="A2157" s="4" t="s">
        <v>12981</v>
      </c>
      <c r="B2157" s="4" t="s">
        <v>12982</v>
      </c>
    </row>
    <row r="2158">
      <c r="A2158" s="4" t="s">
        <v>12983</v>
      </c>
      <c r="B2158" s="4" t="s">
        <v>12984</v>
      </c>
    </row>
    <row r="2159">
      <c r="A2159" s="4" t="s">
        <v>12985</v>
      </c>
      <c r="B2159" s="4" t="s">
        <v>12986</v>
      </c>
    </row>
    <row r="2160">
      <c r="A2160" s="4" t="s">
        <v>12987</v>
      </c>
      <c r="B2160" s="4" t="s">
        <v>12988</v>
      </c>
    </row>
    <row r="2161">
      <c r="A2161" s="4" t="s">
        <v>12989</v>
      </c>
      <c r="B2161" s="4" t="s">
        <v>12990</v>
      </c>
    </row>
    <row r="2162">
      <c r="A2162" s="4" t="s">
        <v>12991</v>
      </c>
      <c r="B2162" s="4" t="s">
        <v>12992</v>
      </c>
    </row>
    <row r="2163">
      <c r="A2163" s="4" t="s">
        <v>12993</v>
      </c>
      <c r="B2163" s="4" t="s">
        <v>12994</v>
      </c>
    </row>
    <row r="2164">
      <c r="A2164" s="4" t="s">
        <v>12995</v>
      </c>
      <c r="B2164" s="4" t="s">
        <v>12996</v>
      </c>
    </row>
    <row r="2165">
      <c r="A2165" s="4" t="s">
        <v>12997</v>
      </c>
      <c r="B2165" s="4" t="s">
        <v>12998</v>
      </c>
    </row>
    <row r="2166">
      <c r="A2166" s="4" t="s">
        <v>12999</v>
      </c>
      <c r="B2166" s="4" t="s">
        <v>13000</v>
      </c>
    </row>
    <row r="2167">
      <c r="A2167" s="4" t="s">
        <v>13001</v>
      </c>
      <c r="B2167" s="4" t="s">
        <v>13002</v>
      </c>
    </row>
    <row r="2168">
      <c r="A2168" s="4" t="s">
        <v>13003</v>
      </c>
      <c r="B2168" s="4" t="s">
        <v>13004</v>
      </c>
    </row>
    <row r="2169">
      <c r="A2169" s="4" t="s">
        <v>13005</v>
      </c>
      <c r="B2169" s="4" t="s">
        <v>13006</v>
      </c>
    </row>
    <row r="2170">
      <c r="A2170" s="4" t="s">
        <v>13007</v>
      </c>
      <c r="B2170" s="4" t="s">
        <v>13008</v>
      </c>
    </row>
    <row r="2171">
      <c r="A2171" s="4" t="s">
        <v>13009</v>
      </c>
      <c r="B2171" s="4" t="s">
        <v>13010</v>
      </c>
    </row>
    <row r="2172">
      <c r="A2172" s="4" t="s">
        <v>13011</v>
      </c>
      <c r="B2172" s="4" t="s">
        <v>13012</v>
      </c>
    </row>
    <row r="2173">
      <c r="A2173" s="4" t="s">
        <v>13013</v>
      </c>
      <c r="B2173" s="4" t="s">
        <v>13014</v>
      </c>
    </row>
    <row r="2174">
      <c r="A2174" s="4" t="s">
        <v>13015</v>
      </c>
      <c r="B2174" s="4" t="s">
        <v>13016</v>
      </c>
    </row>
    <row r="2175">
      <c r="A2175" s="4" t="s">
        <v>13017</v>
      </c>
      <c r="B2175" s="4" t="s">
        <v>13018</v>
      </c>
    </row>
    <row r="2176">
      <c r="A2176" s="4" t="s">
        <v>13019</v>
      </c>
      <c r="B2176" s="4" t="s">
        <v>13020</v>
      </c>
    </row>
    <row r="2177">
      <c r="A2177" s="4" t="s">
        <v>13021</v>
      </c>
      <c r="B2177" s="4" t="s">
        <v>13022</v>
      </c>
    </row>
    <row r="2178">
      <c r="A2178" s="4" t="s">
        <v>13023</v>
      </c>
      <c r="B2178" s="4" t="s">
        <v>13024</v>
      </c>
    </row>
    <row r="2179">
      <c r="A2179" s="4" t="s">
        <v>13025</v>
      </c>
      <c r="B2179" s="4" t="s">
        <v>13026</v>
      </c>
    </row>
    <row r="2180">
      <c r="A2180" s="4" t="s">
        <v>13027</v>
      </c>
      <c r="B2180" s="4" t="s">
        <v>13028</v>
      </c>
    </row>
    <row r="2181">
      <c r="A2181" s="4" t="s">
        <v>13029</v>
      </c>
      <c r="B2181" s="4" t="s">
        <v>13030</v>
      </c>
    </row>
    <row r="2182">
      <c r="A2182" s="4" t="s">
        <v>13031</v>
      </c>
      <c r="B2182" s="4" t="s">
        <v>13032</v>
      </c>
    </row>
    <row r="2183">
      <c r="A2183" s="4" t="s">
        <v>13033</v>
      </c>
      <c r="B2183" s="4" t="s">
        <v>13034</v>
      </c>
    </row>
    <row r="2184">
      <c r="A2184" s="4" t="s">
        <v>13035</v>
      </c>
      <c r="B2184" s="4" t="s">
        <v>13036</v>
      </c>
    </row>
    <row r="2185">
      <c r="A2185" s="4" t="s">
        <v>13037</v>
      </c>
      <c r="B2185" s="4" t="s">
        <v>13038</v>
      </c>
    </row>
    <row r="2186">
      <c r="A2186" s="4" t="s">
        <v>13039</v>
      </c>
      <c r="B2186" s="4" t="s">
        <v>13040</v>
      </c>
    </row>
    <row r="2187">
      <c r="A2187" s="4" t="s">
        <v>13041</v>
      </c>
      <c r="B2187" s="4" t="s">
        <v>13042</v>
      </c>
    </row>
    <row r="2188">
      <c r="A2188" s="4" t="s">
        <v>13043</v>
      </c>
      <c r="B2188" s="4" t="s">
        <v>13044</v>
      </c>
    </row>
    <row r="2189">
      <c r="A2189" s="4" t="s">
        <v>13045</v>
      </c>
      <c r="B2189" s="4" t="s">
        <v>13046</v>
      </c>
    </row>
    <row r="2190">
      <c r="A2190" s="4" t="s">
        <v>13047</v>
      </c>
      <c r="B2190" s="4" t="s">
        <v>13048</v>
      </c>
    </row>
    <row r="2191">
      <c r="A2191" s="4" t="s">
        <v>13049</v>
      </c>
      <c r="B2191" s="4" t="s">
        <v>13050</v>
      </c>
    </row>
    <row r="2192">
      <c r="A2192" s="4" t="s">
        <v>13051</v>
      </c>
      <c r="B2192" s="4" t="s">
        <v>13052</v>
      </c>
    </row>
    <row r="2193">
      <c r="A2193" s="4" t="s">
        <v>13053</v>
      </c>
      <c r="B2193" s="4" t="s">
        <v>13054</v>
      </c>
    </row>
    <row r="2194">
      <c r="A2194" s="4" t="s">
        <v>13055</v>
      </c>
      <c r="B2194" s="4" t="s">
        <v>13056</v>
      </c>
    </row>
    <row r="2195">
      <c r="A2195" s="4" t="s">
        <v>13057</v>
      </c>
      <c r="B2195" s="4" t="s">
        <v>13058</v>
      </c>
    </row>
    <row r="2196">
      <c r="A2196" s="4" t="s">
        <v>13059</v>
      </c>
      <c r="B2196" s="4" t="s">
        <v>13060</v>
      </c>
    </row>
    <row r="2197">
      <c r="A2197" s="4" t="s">
        <v>13061</v>
      </c>
      <c r="B2197" s="4" t="s">
        <v>13062</v>
      </c>
    </row>
    <row r="2198">
      <c r="A2198" s="4" t="s">
        <v>13063</v>
      </c>
      <c r="B2198" s="4" t="s">
        <v>13064</v>
      </c>
    </row>
    <row r="2199">
      <c r="A2199" s="4" t="s">
        <v>13065</v>
      </c>
      <c r="B2199" s="4" t="s">
        <v>13066</v>
      </c>
    </row>
    <row r="2200">
      <c r="A2200" s="4" t="s">
        <v>13067</v>
      </c>
      <c r="B2200" s="4" t="s">
        <v>13068</v>
      </c>
    </row>
    <row r="2201">
      <c r="A2201" s="4" t="s">
        <v>13069</v>
      </c>
      <c r="B2201" s="4" t="s">
        <v>13070</v>
      </c>
    </row>
    <row r="2202">
      <c r="A2202" s="4" t="s">
        <v>13071</v>
      </c>
      <c r="B2202" s="4" t="s">
        <v>13072</v>
      </c>
    </row>
    <row r="2203">
      <c r="A2203" s="4" t="s">
        <v>13073</v>
      </c>
      <c r="B2203" s="4" t="s">
        <v>13074</v>
      </c>
    </row>
    <row r="2204">
      <c r="A2204" s="4" t="s">
        <v>13075</v>
      </c>
      <c r="B2204" s="4" t="s">
        <v>13076</v>
      </c>
    </row>
    <row r="2205">
      <c r="A2205" s="4" t="s">
        <v>13077</v>
      </c>
      <c r="B2205" s="4" t="s">
        <v>13078</v>
      </c>
    </row>
    <row r="2206">
      <c r="A2206" s="4" t="s">
        <v>13079</v>
      </c>
      <c r="B2206" s="4" t="s">
        <v>13080</v>
      </c>
    </row>
    <row r="2207">
      <c r="A2207" s="4" t="s">
        <v>13081</v>
      </c>
      <c r="B2207" s="4" t="s">
        <v>13082</v>
      </c>
    </row>
    <row r="2208">
      <c r="A2208" s="4" t="s">
        <v>13083</v>
      </c>
      <c r="B2208" s="4" t="s">
        <v>13084</v>
      </c>
    </row>
    <row r="2209">
      <c r="A2209" s="4" t="s">
        <v>13085</v>
      </c>
      <c r="B2209" s="4" t="s">
        <v>13086</v>
      </c>
    </row>
    <row r="2210">
      <c r="A2210" s="4" t="s">
        <v>13087</v>
      </c>
      <c r="B2210" s="4" t="s">
        <v>13088</v>
      </c>
    </row>
    <row r="2211">
      <c r="A2211" s="4" t="s">
        <v>13089</v>
      </c>
      <c r="B2211" s="4" t="s">
        <v>13090</v>
      </c>
    </row>
    <row r="2212">
      <c r="A2212" s="4" t="s">
        <v>13091</v>
      </c>
      <c r="B2212" s="4" t="s">
        <v>13092</v>
      </c>
    </row>
    <row r="2213">
      <c r="A2213" s="4" t="s">
        <v>13093</v>
      </c>
      <c r="B2213" s="4" t="s">
        <v>13094</v>
      </c>
    </row>
    <row r="2214">
      <c r="A2214" s="4" t="s">
        <v>13095</v>
      </c>
      <c r="B2214" s="4" t="s">
        <v>13096</v>
      </c>
    </row>
    <row r="2215">
      <c r="A2215" s="4" t="s">
        <v>13097</v>
      </c>
      <c r="B2215" s="4" t="s">
        <v>13098</v>
      </c>
    </row>
    <row r="2216">
      <c r="A2216" s="4" t="s">
        <v>13099</v>
      </c>
      <c r="B2216" s="4" t="s">
        <v>13100</v>
      </c>
    </row>
    <row r="2217">
      <c r="A2217" s="4" t="s">
        <v>13101</v>
      </c>
      <c r="B2217" s="4" t="s">
        <v>13102</v>
      </c>
    </row>
    <row r="2218">
      <c r="A2218" s="4" t="s">
        <v>13103</v>
      </c>
      <c r="B2218" s="4" t="s">
        <v>13104</v>
      </c>
    </row>
    <row r="2219">
      <c r="A2219" s="4" t="s">
        <v>13105</v>
      </c>
      <c r="B2219" s="4" t="s">
        <v>13106</v>
      </c>
    </row>
    <row r="2220">
      <c r="A2220" s="4" t="s">
        <v>13107</v>
      </c>
      <c r="B2220" s="4" t="s">
        <v>13108</v>
      </c>
    </row>
    <row r="2221">
      <c r="A2221" s="4" t="s">
        <v>13109</v>
      </c>
      <c r="B2221" s="4" t="s">
        <v>13110</v>
      </c>
    </row>
    <row r="2222">
      <c r="A2222" s="4" t="s">
        <v>13111</v>
      </c>
      <c r="B2222" s="4" t="s">
        <v>13112</v>
      </c>
    </row>
    <row r="2223">
      <c r="A2223" s="4" t="s">
        <v>13113</v>
      </c>
      <c r="B2223" s="4" t="s">
        <v>13114</v>
      </c>
    </row>
    <row r="2224">
      <c r="A2224" s="4" t="s">
        <v>13115</v>
      </c>
      <c r="B2224" s="4" t="s">
        <v>13116</v>
      </c>
    </row>
    <row r="2225">
      <c r="A2225" s="4" t="s">
        <v>13117</v>
      </c>
      <c r="B2225" s="4" t="s">
        <v>13118</v>
      </c>
    </row>
    <row r="2226">
      <c r="A2226" s="4" t="s">
        <v>13119</v>
      </c>
      <c r="B2226" s="4" t="s">
        <v>13120</v>
      </c>
    </row>
    <row r="2227">
      <c r="A2227" s="4" t="s">
        <v>13121</v>
      </c>
      <c r="B2227" s="4" t="s">
        <v>13122</v>
      </c>
    </row>
    <row r="2228">
      <c r="A2228" s="4" t="s">
        <v>13123</v>
      </c>
      <c r="B2228" s="4" t="s">
        <v>13124</v>
      </c>
    </row>
    <row r="2229">
      <c r="A2229" s="4" t="s">
        <v>13125</v>
      </c>
      <c r="B2229" s="4" t="s">
        <v>13126</v>
      </c>
    </row>
    <row r="2230">
      <c r="A2230" s="4" t="s">
        <v>13127</v>
      </c>
      <c r="B2230" s="4" t="s">
        <v>13128</v>
      </c>
    </row>
    <row r="2231">
      <c r="A2231" s="4" t="s">
        <v>13129</v>
      </c>
      <c r="B2231" s="4" t="s">
        <v>13130</v>
      </c>
    </row>
    <row r="2232">
      <c r="A2232" s="4" t="s">
        <v>13131</v>
      </c>
      <c r="B2232" s="4" t="s">
        <v>13132</v>
      </c>
    </row>
    <row r="2233">
      <c r="A2233" s="4" t="s">
        <v>13133</v>
      </c>
      <c r="B2233" s="4" t="s">
        <v>13134</v>
      </c>
    </row>
    <row r="2234">
      <c r="A2234" s="4" t="s">
        <v>13135</v>
      </c>
      <c r="B2234" s="4" t="s">
        <v>13136</v>
      </c>
    </row>
    <row r="2235">
      <c r="A2235" s="4" t="s">
        <v>13137</v>
      </c>
      <c r="B2235" s="4" t="s">
        <v>13138</v>
      </c>
    </row>
    <row r="2236">
      <c r="A2236" s="4" t="s">
        <v>13139</v>
      </c>
      <c r="B2236" s="4" t="s">
        <v>13140</v>
      </c>
    </row>
    <row r="2237">
      <c r="A2237" s="4" t="s">
        <v>13141</v>
      </c>
      <c r="B2237" s="4" t="s">
        <v>13142</v>
      </c>
    </row>
    <row r="2238">
      <c r="A2238" s="4" t="s">
        <v>13143</v>
      </c>
      <c r="B2238" s="4" t="s">
        <v>13144</v>
      </c>
    </row>
    <row r="2239">
      <c r="A2239" s="4" t="s">
        <v>13145</v>
      </c>
      <c r="B2239" s="4" t="s">
        <v>13146</v>
      </c>
    </row>
    <row r="2240">
      <c r="A2240" s="4" t="s">
        <v>13147</v>
      </c>
      <c r="B2240" s="4" t="s">
        <v>13148</v>
      </c>
    </row>
    <row r="2241">
      <c r="A2241" s="4" t="s">
        <v>13149</v>
      </c>
      <c r="B2241" s="4" t="s">
        <v>13150</v>
      </c>
    </row>
    <row r="2242">
      <c r="A2242" s="4" t="s">
        <v>13151</v>
      </c>
      <c r="B2242" s="4" t="s">
        <v>13152</v>
      </c>
    </row>
    <row r="2243">
      <c r="A2243" s="4" t="s">
        <v>13153</v>
      </c>
      <c r="B2243" s="4" t="s">
        <v>13154</v>
      </c>
    </row>
    <row r="2244">
      <c r="A2244" s="4" t="s">
        <v>13155</v>
      </c>
      <c r="B2244" s="4" t="s">
        <v>13156</v>
      </c>
    </row>
    <row r="2245">
      <c r="A2245" s="4" t="s">
        <v>13157</v>
      </c>
      <c r="B2245" s="4" t="s">
        <v>13158</v>
      </c>
    </row>
    <row r="2246">
      <c r="A2246" s="4" t="s">
        <v>13159</v>
      </c>
      <c r="B2246" s="4" t="s">
        <v>13160</v>
      </c>
    </row>
    <row r="2247">
      <c r="A2247" s="4" t="s">
        <v>13161</v>
      </c>
      <c r="B2247" s="4" t="s">
        <v>13162</v>
      </c>
    </row>
    <row r="2248">
      <c r="A2248" s="4" t="s">
        <v>13163</v>
      </c>
      <c r="B2248" s="4" t="s">
        <v>13164</v>
      </c>
    </row>
    <row r="2249">
      <c r="A2249" s="4" t="s">
        <v>13165</v>
      </c>
      <c r="B2249" s="4" t="s">
        <v>13166</v>
      </c>
    </row>
    <row r="2250">
      <c r="A2250" s="4" t="s">
        <v>13167</v>
      </c>
      <c r="B2250" s="4" t="s">
        <v>13168</v>
      </c>
    </row>
    <row r="2251">
      <c r="A2251" s="4" t="s">
        <v>13169</v>
      </c>
      <c r="B2251" s="4" t="s">
        <v>13170</v>
      </c>
    </row>
    <row r="2252">
      <c r="A2252" s="4" t="s">
        <v>13171</v>
      </c>
      <c r="B2252" s="4" t="s">
        <v>13172</v>
      </c>
    </row>
    <row r="2253">
      <c r="A2253" s="4" t="s">
        <v>13173</v>
      </c>
      <c r="B2253" s="4" t="s">
        <v>13174</v>
      </c>
    </row>
    <row r="2254">
      <c r="A2254" s="4" t="s">
        <v>13175</v>
      </c>
      <c r="B2254" s="4" t="s">
        <v>13176</v>
      </c>
    </row>
    <row r="2255">
      <c r="A2255" s="4" t="s">
        <v>13177</v>
      </c>
      <c r="B2255" s="4" t="s">
        <v>13178</v>
      </c>
    </row>
    <row r="2256">
      <c r="A2256" s="4" t="s">
        <v>13179</v>
      </c>
      <c r="B2256" s="4" t="s">
        <v>13180</v>
      </c>
    </row>
    <row r="2257">
      <c r="A2257" s="4" t="s">
        <v>13181</v>
      </c>
      <c r="B2257" s="4" t="s">
        <v>13182</v>
      </c>
    </row>
    <row r="2258">
      <c r="A2258" s="4" t="s">
        <v>13183</v>
      </c>
      <c r="B2258" s="4" t="s">
        <v>13184</v>
      </c>
    </row>
    <row r="2259">
      <c r="A2259" s="4" t="s">
        <v>13185</v>
      </c>
      <c r="B2259" s="4" t="s">
        <v>13186</v>
      </c>
    </row>
    <row r="2260">
      <c r="A2260" s="4" t="s">
        <v>13187</v>
      </c>
      <c r="B2260" s="4" t="s">
        <v>13188</v>
      </c>
    </row>
    <row r="2261">
      <c r="A2261" s="4" t="s">
        <v>13189</v>
      </c>
      <c r="B2261" s="4" t="s">
        <v>13190</v>
      </c>
    </row>
    <row r="2262">
      <c r="A2262" s="4" t="s">
        <v>13191</v>
      </c>
      <c r="B2262" s="4" t="s">
        <v>13192</v>
      </c>
    </row>
    <row r="2263">
      <c r="A2263" s="4" t="s">
        <v>13193</v>
      </c>
      <c r="B2263" s="4" t="s">
        <v>13194</v>
      </c>
    </row>
    <row r="2264">
      <c r="A2264" s="4" t="s">
        <v>13195</v>
      </c>
      <c r="B2264" s="4" t="s">
        <v>13196</v>
      </c>
    </row>
    <row r="2265">
      <c r="A2265" s="4" t="s">
        <v>13197</v>
      </c>
      <c r="B2265" s="4" t="s">
        <v>13198</v>
      </c>
    </row>
    <row r="2266">
      <c r="A2266" s="4" t="s">
        <v>13199</v>
      </c>
      <c r="B2266" s="4" t="s">
        <v>13200</v>
      </c>
    </row>
    <row r="2267">
      <c r="A2267" s="4" t="s">
        <v>13201</v>
      </c>
      <c r="B2267" s="4" t="s">
        <v>13202</v>
      </c>
    </row>
    <row r="2268">
      <c r="A2268" s="4" t="s">
        <v>13203</v>
      </c>
      <c r="B2268" s="4" t="s">
        <v>13204</v>
      </c>
    </row>
    <row r="2269">
      <c r="A2269" s="4" t="s">
        <v>13205</v>
      </c>
      <c r="B2269" s="4" t="s">
        <v>13206</v>
      </c>
    </row>
    <row r="2270">
      <c r="A2270" s="4" t="s">
        <v>13207</v>
      </c>
      <c r="B2270" s="4" t="s">
        <v>13208</v>
      </c>
    </row>
    <row r="2271">
      <c r="A2271" s="4" t="s">
        <v>13209</v>
      </c>
      <c r="B2271" s="4" t="s">
        <v>13210</v>
      </c>
    </row>
    <row r="2272">
      <c r="A2272" s="4" t="s">
        <v>13211</v>
      </c>
      <c r="B2272" s="4" t="s">
        <v>13212</v>
      </c>
    </row>
    <row r="2273">
      <c r="A2273" s="4" t="s">
        <v>13213</v>
      </c>
      <c r="B2273" s="4" t="s">
        <v>13214</v>
      </c>
    </row>
    <row r="2274">
      <c r="A2274" s="4" t="s">
        <v>13215</v>
      </c>
      <c r="B2274" s="4" t="s">
        <v>13216</v>
      </c>
    </row>
    <row r="2275">
      <c r="A2275" s="4" t="s">
        <v>13217</v>
      </c>
      <c r="B2275" s="4" t="s">
        <v>13218</v>
      </c>
    </row>
    <row r="2276">
      <c r="A2276" s="4" t="s">
        <v>13219</v>
      </c>
      <c r="B2276" s="4" t="s">
        <v>13220</v>
      </c>
    </row>
    <row r="2277">
      <c r="A2277" s="4" t="s">
        <v>13221</v>
      </c>
      <c r="B2277" s="4" t="s">
        <v>13222</v>
      </c>
    </row>
    <row r="2278">
      <c r="A2278" s="4" t="s">
        <v>13223</v>
      </c>
      <c r="B2278" s="4" t="s">
        <v>13224</v>
      </c>
    </row>
    <row r="2279">
      <c r="A2279" s="4" t="s">
        <v>13225</v>
      </c>
      <c r="B2279" s="4" t="s">
        <v>13226</v>
      </c>
    </row>
    <row r="2280">
      <c r="A2280" s="4" t="s">
        <v>13227</v>
      </c>
      <c r="B2280" s="4" t="s">
        <v>13228</v>
      </c>
    </row>
    <row r="2281">
      <c r="A2281" s="4" t="s">
        <v>13229</v>
      </c>
      <c r="B2281" s="4" t="s">
        <v>13230</v>
      </c>
    </row>
    <row r="2282">
      <c r="A2282" s="4" t="s">
        <v>13231</v>
      </c>
      <c r="B2282" s="4" t="s">
        <v>13232</v>
      </c>
    </row>
    <row r="2283">
      <c r="A2283" s="4" t="s">
        <v>13233</v>
      </c>
      <c r="B2283" s="4" t="s">
        <v>13234</v>
      </c>
    </row>
    <row r="2284">
      <c r="A2284" s="4" t="s">
        <v>13235</v>
      </c>
      <c r="B2284" s="4" t="s">
        <v>13236</v>
      </c>
    </row>
    <row r="2285">
      <c r="A2285" s="4" t="s">
        <v>13237</v>
      </c>
      <c r="B2285" s="4" t="s">
        <v>13238</v>
      </c>
    </row>
    <row r="2286">
      <c r="A2286" s="4" t="s">
        <v>13239</v>
      </c>
      <c r="B2286" s="4" t="s">
        <v>13240</v>
      </c>
    </row>
    <row r="2287">
      <c r="A2287" s="4" t="s">
        <v>13241</v>
      </c>
      <c r="B2287" s="4" t="s">
        <v>13242</v>
      </c>
    </row>
    <row r="2288">
      <c r="A2288" s="4" t="s">
        <v>13243</v>
      </c>
      <c r="B2288" s="4" t="s">
        <v>13244</v>
      </c>
    </row>
    <row r="2289">
      <c r="A2289" s="4" t="s">
        <v>13245</v>
      </c>
      <c r="B2289" s="4" t="s">
        <v>13246</v>
      </c>
    </row>
    <row r="2290">
      <c r="A2290" s="4" t="s">
        <v>13247</v>
      </c>
      <c r="B2290" s="4" t="s">
        <v>13248</v>
      </c>
    </row>
    <row r="2291">
      <c r="A2291" s="4" t="s">
        <v>13249</v>
      </c>
      <c r="B2291" s="4" t="s">
        <v>13250</v>
      </c>
    </row>
    <row r="2292">
      <c r="A2292" s="4" t="s">
        <v>13251</v>
      </c>
      <c r="B2292" s="4" t="s">
        <v>13252</v>
      </c>
    </row>
    <row r="2293">
      <c r="A2293" s="4" t="s">
        <v>13253</v>
      </c>
      <c r="B2293" s="4" t="s">
        <v>13254</v>
      </c>
    </row>
    <row r="2294">
      <c r="A2294" s="4" t="s">
        <v>13255</v>
      </c>
      <c r="B2294" s="4" t="s">
        <v>13256</v>
      </c>
    </row>
    <row r="2295">
      <c r="A2295" s="4" t="s">
        <v>13257</v>
      </c>
      <c r="B2295" s="4" t="s">
        <v>13258</v>
      </c>
    </row>
    <row r="2296">
      <c r="A2296" s="4" t="s">
        <v>13259</v>
      </c>
      <c r="B2296" s="4" t="s">
        <v>13260</v>
      </c>
    </row>
    <row r="2297">
      <c r="A2297" s="4" t="s">
        <v>13261</v>
      </c>
      <c r="B2297" s="4" t="s">
        <v>13262</v>
      </c>
    </row>
    <row r="2298">
      <c r="A2298" s="4" t="s">
        <v>13263</v>
      </c>
      <c r="B2298" s="4" t="s">
        <v>13264</v>
      </c>
    </row>
    <row r="2299">
      <c r="A2299" s="4" t="s">
        <v>13265</v>
      </c>
      <c r="B2299" s="4" t="s">
        <v>13266</v>
      </c>
    </row>
    <row r="2300">
      <c r="A2300" s="4" t="s">
        <v>13267</v>
      </c>
      <c r="B2300" s="4" t="s">
        <v>13268</v>
      </c>
    </row>
    <row r="2301">
      <c r="A2301" s="4" t="s">
        <v>13269</v>
      </c>
      <c r="B2301" s="4" t="s">
        <v>13270</v>
      </c>
    </row>
    <row r="2302">
      <c r="A2302" s="4" t="s">
        <v>13271</v>
      </c>
      <c r="B2302" s="4" t="s">
        <v>13272</v>
      </c>
    </row>
    <row r="2303">
      <c r="A2303" s="4" t="s">
        <v>13273</v>
      </c>
      <c r="B2303" s="4" t="s">
        <v>13274</v>
      </c>
    </row>
    <row r="2304">
      <c r="A2304" s="4" t="s">
        <v>13275</v>
      </c>
      <c r="B2304" s="4" t="s">
        <v>13276</v>
      </c>
    </row>
    <row r="2305">
      <c r="A2305" s="4" t="s">
        <v>13277</v>
      </c>
      <c r="B2305" s="4" t="s">
        <v>13278</v>
      </c>
    </row>
    <row r="2306">
      <c r="A2306" s="4" t="s">
        <v>13279</v>
      </c>
      <c r="B2306" s="4" t="s">
        <v>13280</v>
      </c>
    </row>
    <row r="2307">
      <c r="A2307" s="4" t="s">
        <v>13281</v>
      </c>
      <c r="B2307" s="4" t="s">
        <v>13282</v>
      </c>
    </row>
    <row r="2308">
      <c r="A2308" s="4" t="s">
        <v>13283</v>
      </c>
      <c r="B2308" s="4" t="s">
        <v>13284</v>
      </c>
    </row>
    <row r="2309">
      <c r="A2309" s="4" t="s">
        <v>13285</v>
      </c>
      <c r="B2309" s="4" t="s">
        <v>13286</v>
      </c>
    </row>
    <row r="2310">
      <c r="A2310" s="4" t="s">
        <v>13287</v>
      </c>
      <c r="B2310" s="4" t="s">
        <v>13288</v>
      </c>
    </row>
    <row r="2311">
      <c r="A2311" s="4" t="s">
        <v>13289</v>
      </c>
      <c r="B2311" s="4" t="s">
        <v>13290</v>
      </c>
    </row>
    <row r="2312">
      <c r="A2312" s="4" t="s">
        <v>13291</v>
      </c>
      <c r="B2312" s="4" t="s">
        <v>13292</v>
      </c>
    </row>
    <row r="2313">
      <c r="A2313" s="4" t="s">
        <v>13293</v>
      </c>
      <c r="B2313" s="4" t="s">
        <v>13294</v>
      </c>
    </row>
    <row r="2314">
      <c r="A2314" s="4" t="s">
        <v>13295</v>
      </c>
      <c r="B2314" s="4" t="s">
        <v>13296</v>
      </c>
    </row>
    <row r="2315">
      <c r="A2315" s="4" t="s">
        <v>13297</v>
      </c>
      <c r="B2315" s="4" t="s">
        <v>13298</v>
      </c>
    </row>
    <row r="2316">
      <c r="A2316" s="4" t="s">
        <v>13299</v>
      </c>
      <c r="B2316" s="4" t="s">
        <v>13300</v>
      </c>
    </row>
    <row r="2317">
      <c r="A2317" s="4" t="s">
        <v>13301</v>
      </c>
      <c r="B2317" s="4" t="s">
        <v>13302</v>
      </c>
    </row>
    <row r="2318">
      <c r="A2318" s="4" t="s">
        <v>13303</v>
      </c>
      <c r="B2318" s="4" t="s">
        <v>13304</v>
      </c>
    </row>
    <row r="2319">
      <c r="A2319" s="4" t="s">
        <v>13305</v>
      </c>
      <c r="B2319" s="4" t="s">
        <v>13306</v>
      </c>
    </row>
    <row r="2320">
      <c r="A2320" s="4" t="s">
        <v>13307</v>
      </c>
      <c r="B2320" s="4" t="s">
        <v>13308</v>
      </c>
    </row>
    <row r="2321">
      <c r="A2321" s="4" t="s">
        <v>13309</v>
      </c>
      <c r="B2321" s="4" t="s">
        <v>13310</v>
      </c>
    </row>
    <row r="2322">
      <c r="A2322" s="4" t="s">
        <v>13311</v>
      </c>
      <c r="B2322" s="4" t="s">
        <v>13312</v>
      </c>
    </row>
    <row r="2323">
      <c r="A2323" s="4" t="s">
        <v>13313</v>
      </c>
      <c r="B2323" s="4" t="s">
        <v>13314</v>
      </c>
    </row>
    <row r="2324">
      <c r="A2324" s="4" t="s">
        <v>13315</v>
      </c>
      <c r="B2324" s="4" t="s">
        <v>13316</v>
      </c>
    </row>
    <row r="2325">
      <c r="A2325" s="4" t="s">
        <v>13317</v>
      </c>
      <c r="B2325" s="4" t="s">
        <v>13318</v>
      </c>
    </row>
    <row r="2326">
      <c r="A2326" s="4" t="s">
        <v>13319</v>
      </c>
      <c r="B2326" s="4" t="s">
        <v>13320</v>
      </c>
    </row>
    <row r="2327">
      <c r="A2327" s="4" t="s">
        <v>13321</v>
      </c>
      <c r="B2327" s="4" t="s">
        <v>13322</v>
      </c>
    </row>
    <row r="2328">
      <c r="A2328" s="4" t="s">
        <v>13323</v>
      </c>
      <c r="B2328" s="4" t="s">
        <v>13324</v>
      </c>
    </row>
    <row r="2329">
      <c r="A2329" s="4" t="s">
        <v>13325</v>
      </c>
      <c r="B2329" s="4" t="s">
        <v>13326</v>
      </c>
    </row>
    <row r="2330">
      <c r="A2330" s="4" t="s">
        <v>13327</v>
      </c>
      <c r="B2330" s="4" t="s">
        <v>13328</v>
      </c>
    </row>
    <row r="2331">
      <c r="A2331" s="4" t="s">
        <v>13329</v>
      </c>
      <c r="B2331" s="4" t="s">
        <v>13330</v>
      </c>
    </row>
    <row r="2332">
      <c r="A2332" s="4" t="s">
        <v>13331</v>
      </c>
      <c r="B2332" s="4" t="s">
        <v>13332</v>
      </c>
    </row>
    <row r="2333">
      <c r="A2333" s="4" t="s">
        <v>13333</v>
      </c>
      <c r="B2333" s="4" t="s">
        <v>13334</v>
      </c>
    </row>
    <row r="2334">
      <c r="A2334" s="4" t="s">
        <v>13335</v>
      </c>
      <c r="B2334" s="4" t="s">
        <v>13336</v>
      </c>
    </row>
    <row r="2335">
      <c r="A2335" s="4" t="s">
        <v>13337</v>
      </c>
      <c r="B2335" s="4" t="s">
        <v>13338</v>
      </c>
    </row>
    <row r="2336">
      <c r="A2336" s="4" t="s">
        <v>13339</v>
      </c>
      <c r="B2336" s="4" t="s">
        <v>13340</v>
      </c>
    </row>
    <row r="2337">
      <c r="A2337" s="4" t="s">
        <v>13341</v>
      </c>
      <c r="B2337" s="4" t="s">
        <v>13342</v>
      </c>
    </row>
    <row r="2338">
      <c r="A2338" s="4" t="s">
        <v>13343</v>
      </c>
      <c r="B2338" s="4" t="s">
        <v>13344</v>
      </c>
    </row>
    <row r="2339">
      <c r="A2339" s="4" t="s">
        <v>13345</v>
      </c>
      <c r="B2339" s="4" t="s">
        <v>13346</v>
      </c>
    </row>
    <row r="2340">
      <c r="A2340" s="4" t="s">
        <v>13347</v>
      </c>
      <c r="B2340" s="4" t="s">
        <v>13348</v>
      </c>
    </row>
    <row r="2341">
      <c r="A2341" s="4" t="s">
        <v>13349</v>
      </c>
      <c r="B2341" s="4" t="s">
        <v>13350</v>
      </c>
    </row>
    <row r="2342">
      <c r="A2342" s="4" t="s">
        <v>13351</v>
      </c>
      <c r="B2342" s="4" t="s">
        <v>13352</v>
      </c>
    </row>
    <row r="2343">
      <c r="A2343" s="4" t="s">
        <v>13353</v>
      </c>
      <c r="B2343" s="4" t="s">
        <v>13354</v>
      </c>
    </row>
    <row r="2344">
      <c r="A2344" s="4" t="s">
        <v>13355</v>
      </c>
      <c r="B2344" s="4" t="s">
        <v>13356</v>
      </c>
    </row>
    <row r="2345">
      <c r="A2345" s="4" t="s">
        <v>13357</v>
      </c>
      <c r="B2345" s="4" t="s">
        <v>13358</v>
      </c>
    </row>
    <row r="2346">
      <c r="A2346" s="4" t="s">
        <v>13359</v>
      </c>
      <c r="B2346" s="4" t="s">
        <v>13360</v>
      </c>
    </row>
    <row r="2347">
      <c r="A2347" s="4" t="s">
        <v>13361</v>
      </c>
      <c r="B2347" s="4" t="s">
        <v>13362</v>
      </c>
    </row>
    <row r="2348">
      <c r="A2348" s="4" t="s">
        <v>13363</v>
      </c>
      <c r="B2348" s="4" t="s">
        <v>13364</v>
      </c>
    </row>
    <row r="2349">
      <c r="A2349" s="4" t="s">
        <v>13365</v>
      </c>
      <c r="B2349" s="4" t="s">
        <v>13366</v>
      </c>
    </row>
    <row r="2350">
      <c r="A2350" s="4" t="s">
        <v>13367</v>
      </c>
      <c r="B2350" s="4" t="s">
        <v>13368</v>
      </c>
    </row>
    <row r="2351">
      <c r="A2351" s="4" t="s">
        <v>13369</v>
      </c>
      <c r="B2351" s="4" t="s">
        <v>13370</v>
      </c>
    </row>
    <row r="2352">
      <c r="A2352" s="4" t="s">
        <v>13371</v>
      </c>
      <c r="B2352" s="4" t="s">
        <v>13372</v>
      </c>
    </row>
    <row r="2353">
      <c r="A2353" s="4" t="s">
        <v>13373</v>
      </c>
      <c r="B2353" s="4" t="s">
        <v>13374</v>
      </c>
    </row>
    <row r="2354">
      <c r="A2354" s="4" t="s">
        <v>13375</v>
      </c>
      <c r="B2354" s="4" t="s">
        <v>13376</v>
      </c>
    </row>
    <row r="2355">
      <c r="A2355" s="4" t="s">
        <v>13377</v>
      </c>
      <c r="B2355" s="4" t="s">
        <v>13378</v>
      </c>
    </row>
    <row r="2356">
      <c r="A2356" s="4" t="s">
        <v>13379</v>
      </c>
      <c r="B2356" s="4" t="s">
        <v>13380</v>
      </c>
    </row>
    <row r="2357">
      <c r="A2357" s="4" t="s">
        <v>13381</v>
      </c>
      <c r="B2357" s="4" t="s">
        <v>13382</v>
      </c>
    </row>
    <row r="2358">
      <c r="A2358" s="4" t="s">
        <v>13383</v>
      </c>
      <c r="B2358" s="4" t="s">
        <v>13384</v>
      </c>
    </row>
    <row r="2359">
      <c r="A2359" s="4" t="s">
        <v>13385</v>
      </c>
      <c r="B2359" s="4" t="s">
        <v>13386</v>
      </c>
    </row>
    <row r="2360">
      <c r="A2360" s="4" t="s">
        <v>13387</v>
      </c>
      <c r="B2360" s="4" t="s">
        <v>13388</v>
      </c>
    </row>
    <row r="2361">
      <c r="A2361" s="4" t="s">
        <v>13389</v>
      </c>
      <c r="B2361" s="4" t="s">
        <v>13390</v>
      </c>
    </row>
    <row r="2362">
      <c r="A2362" s="4" t="s">
        <v>13391</v>
      </c>
      <c r="B2362" s="4" t="s">
        <v>13392</v>
      </c>
    </row>
    <row r="2363">
      <c r="A2363" s="4" t="s">
        <v>13393</v>
      </c>
      <c r="B2363" s="4" t="s">
        <v>13394</v>
      </c>
    </row>
    <row r="2364">
      <c r="A2364" s="4" t="s">
        <v>13395</v>
      </c>
      <c r="B2364" s="4" t="s">
        <v>13396</v>
      </c>
    </row>
    <row r="2365">
      <c r="A2365" s="4" t="s">
        <v>13397</v>
      </c>
      <c r="B2365" s="4" t="s">
        <v>13398</v>
      </c>
    </row>
    <row r="2366">
      <c r="A2366" s="4" t="s">
        <v>13399</v>
      </c>
      <c r="B2366" s="4" t="s">
        <v>13400</v>
      </c>
    </row>
    <row r="2367">
      <c r="A2367" s="4" t="s">
        <v>13401</v>
      </c>
      <c r="B2367" s="4" t="s">
        <v>13402</v>
      </c>
    </row>
    <row r="2368">
      <c r="A2368" s="4" t="s">
        <v>13403</v>
      </c>
      <c r="B2368" s="4" t="s">
        <v>13404</v>
      </c>
    </row>
    <row r="2369">
      <c r="A2369" s="4" t="s">
        <v>13405</v>
      </c>
      <c r="B2369" s="4" t="s">
        <v>13406</v>
      </c>
    </row>
    <row r="2370">
      <c r="A2370" s="4" t="s">
        <v>13407</v>
      </c>
      <c r="B2370" s="4" t="s">
        <v>13408</v>
      </c>
    </row>
    <row r="2371">
      <c r="A2371" s="4" t="s">
        <v>13409</v>
      </c>
      <c r="B2371" s="4" t="s">
        <v>13410</v>
      </c>
    </row>
    <row r="2372">
      <c r="A2372" s="4" t="s">
        <v>13411</v>
      </c>
      <c r="B2372" s="4" t="s">
        <v>13412</v>
      </c>
    </row>
    <row r="2373">
      <c r="A2373" s="4" t="s">
        <v>13413</v>
      </c>
      <c r="B2373" s="4" t="s">
        <v>13414</v>
      </c>
    </row>
    <row r="2374">
      <c r="A2374" s="4" t="s">
        <v>13415</v>
      </c>
      <c r="B2374" s="4" t="s">
        <v>13416</v>
      </c>
    </row>
    <row r="2375">
      <c r="A2375" s="4" t="s">
        <v>13417</v>
      </c>
      <c r="B2375" s="4" t="s">
        <v>13418</v>
      </c>
    </row>
    <row r="2376">
      <c r="A2376" s="4" t="s">
        <v>13419</v>
      </c>
      <c r="B2376" s="4" t="s">
        <v>13420</v>
      </c>
    </row>
    <row r="2377">
      <c r="A2377" s="4" t="s">
        <v>13421</v>
      </c>
      <c r="B2377" s="4" t="s">
        <v>13422</v>
      </c>
    </row>
    <row r="2378">
      <c r="A2378" s="4" t="s">
        <v>13423</v>
      </c>
      <c r="B2378" s="4" t="s">
        <v>13424</v>
      </c>
    </row>
    <row r="2379">
      <c r="A2379" s="4" t="s">
        <v>13425</v>
      </c>
      <c r="B2379" s="4" t="s">
        <v>13426</v>
      </c>
    </row>
    <row r="2380">
      <c r="A2380" s="4" t="s">
        <v>13427</v>
      </c>
      <c r="B2380" s="4" t="s">
        <v>13428</v>
      </c>
    </row>
    <row r="2381">
      <c r="A2381" s="4" t="s">
        <v>13429</v>
      </c>
      <c r="B2381" s="4" t="s">
        <v>13430</v>
      </c>
    </row>
    <row r="2382">
      <c r="A2382" s="4" t="s">
        <v>13431</v>
      </c>
      <c r="B2382" s="4" t="s">
        <v>13432</v>
      </c>
    </row>
    <row r="2383">
      <c r="A2383" s="4" t="s">
        <v>13433</v>
      </c>
      <c r="B2383" s="4" t="s">
        <v>13434</v>
      </c>
    </row>
    <row r="2384">
      <c r="A2384" s="4" t="s">
        <v>13435</v>
      </c>
      <c r="B2384" s="4" t="s">
        <v>13436</v>
      </c>
    </row>
    <row r="2385">
      <c r="A2385" s="4" t="s">
        <v>13437</v>
      </c>
      <c r="B2385" s="4" t="s">
        <v>13438</v>
      </c>
    </row>
    <row r="2386">
      <c r="A2386" s="4" t="s">
        <v>13439</v>
      </c>
      <c r="B2386" s="4" t="s">
        <v>13440</v>
      </c>
    </row>
    <row r="2387">
      <c r="A2387" s="4" t="s">
        <v>13441</v>
      </c>
      <c r="B2387" s="4" t="s">
        <v>13442</v>
      </c>
    </row>
    <row r="2388">
      <c r="A2388" s="4" t="s">
        <v>13443</v>
      </c>
      <c r="B2388" s="4" t="s">
        <v>13444</v>
      </c>
    </row>
    <row r="2389">
      <c r="A2389" s="4" t="s">
        <v>13445</v>
      </c>
      <c r="B2389" s="4" t="s">
        <v>13446</v>
      </c>
    </row>
    <row r="2390">
      <c r="A2390" s="4" t="s">
        <v>13447</v>
      </c>
      <c r="B2390" s="4" t="s">
        <v>13448</v>
      </c>
    </row>
    <row r="2391">
      <c r="A2391" s="4" t="s">
        <v>13449</v>
      </c>
      <c r="B2391" s="4" t="s">
        <v>13450</v>
      </c>
    </row>
    <row r="2392">
      <c r="A2392" s="4" t="s">
        <v>13451</v>
      </c>
      <c r="B2392" s="4" t="s">
        <v>13452</v>
      </c>
    </row>
    <row r="2393">
      <c r="A2393" s="4" t="s">
        <v>13453</v>
      </c>
      <c r="B2393" s="4" t="s">
        <v>13454</v>
      </c>
    </row>
    <row r="2394">
      <c r="A2394" s="4" t="s">
        <v>13455</v>
      </c>
      <c r="B2394" s="4" t="s">
        <v>13456</v>
      </c>
    </row>
    <row r="2395">
      <c r="A2395" s="4" t="s">
        <v>13457</v>
      </c>
      <c r="B2395" s="4" t="s">
        <v>13458</v>
      </c>
    </row>
    <row r="2396">
      <c r="A2396" s="4" t="s">
        <v>13459</v>
      </c>
      <c r="B2396" s="4" t="s">
        <v>13460</v>
      </c>
    </row>
    <row r="2397">
      <c r="A2397" s="4" t="s">
        <v>13461</v>
      </c>
      <c r="B2397" s="4" t="s">
        <v>13462</v>
      </c>
    </row>
    <row r="2398">
      <c r="A2398" s="4" t="s">
        <v>13463</v>
      </c>
      <c r="B2398" s="4" t="s">
        <v>13464</v>
      </c>
    </row>
    <row r="2399">
      <c r="A2399" s="4" t="s">
        <v>13465</v>
      </c>
      <c r="B2399" s="4" t="s">
        <v>13466</v>
      </c>
    </row>
    <row r="2400">
      <c r="A2400" s="4" t="s">
        <v>13467</v>
      </c>
      <c r="B2400" s="4" t="s">
        <v>13468</v>
      </c>
    </row>
    <row r="2401">
      <c r="A2401" s="4" t="s">
        <v>13469</v>
      </c>
      <c r="B2401" s="4" t="s">
        <v>13470</v>
      </c>
    </row>
    <row r="2402">
      <c r="A2402" s="4" t="s">
        <v>13471</v>
      </c>
      <c r="B2402" s="4" t="s">
        <v>13472</v>
      </c>
    </row>
    <row r="2403">
      <c r="A2403" s="4" t="s">
        <v>13473</v>
      </c>
      <c r="B2403" s="4" t="s">
        <v>13474</v>
      </c>
    </row>
    <row r="2404">
      <c r="A2404" s="4" t="s">
        <v>13475</v>
      </c>
      <c r="B2404" s="4" t="s">
        <v>13476</v>
      </c>
    </row>
    <row r="2405">
      <c r="A2405" s="4" t="s">
        <v>13477</v>
      </c>
      <c r="B2405" s="4" t="s">
        <v>13478</v>
      </c>
    </row>
    <row r="2406">
      <c r="A2406" s="4" t="s">
        <v>13479</v>
      </c>
      <c r="B2406" s="4" t="s">
        <v>13480</v>
      </c>
    </row>
    <row r="2407">
      <c r="A2407" s="4" t="s">
        <v>13481</v>
      </c>
      <c r="B2407" s="4" t="s">
        <v>13482</v>
      </c>
    </row>
    <row r="2408">
      <c r="A2408" s="4" t="s">
        <v>13483</v>
      </c>
      <c r="B2408" s="4" t="s">
        <v>13484</v>
      </c>
    </row>
    <row r="2409">
      <c r="A2409" s="4" t="s">
        <v>13485</v>
      </c>
      <c r="B2409" s="4" t="s">
        <v>13486</v>
      </c>
    </row>
    <row r="2410">
      <c r="A2410" s="4" t="s">
        <v>13487</v>
      </c>
      <c r="B2410" s="4" t="s">
        <v>13488</v>
      </c>
    </row>
    <row r="2411">
      <c r="A2411" s="4" t="s">
        <v>13489</v>
      </c>
      <c r="B2411" s="4" t="s">
        <v>13490</v>
      </c>
    </row>
    <row r="2412">
      <c r="A2412" s="4" t="s">
        <v>13491</v>
      </c>
      <c r="B2412" s="4" t="s">
        <v>13492</v>
      </c>
    </row>
    <row r="2413">
      <c r="A2413" s="4" t="s">
        <v>13493</v>
      </c>
      <c r="B2413" s="4" t="s">
        <v>13494</v>
      </c>
    </row>
    <row r="2414">
      <c r="A2414" s="4" t="s">
        <v>13495</v>
      </c>
      <c r="B2414" s="4" t="s">
        <v>13496</v>
      </c>
    </row>
    <row r="2415">
      <c r="A2415" s="4" t="s">
        <v>13497</v>
      </c>
      <c r="B2415" s="4" t="s">
        <v>13498</v>
      </c>
    </row>
    <row r="2416">
      <c r="A2416" s="4" t="s">
        <v>13499</v>
      </c>
      <c r="B2416" s="4" t="s">
        <v>13500</v>
      </c>
    </row>
    <row r="2417">
      <c r="A2417" s="4" t="s">
        <v>13501</v>
      </c>
      <c r="B2417" s="4" t="s">
        <v>13502</v>
      </c>
    </row>
    <row r="2418">
      <c r="A2418" s="4" t="s">
        <v>13503</v>
      </c>
      <c r="B2418" s="4" t="s">
        <v>13504</v>
      </c>
    </row>
    <row r="2419">
      <c r="A2419" s="4" t="s">
        <v>13505</v>
      </c>
      <c r="B2419" s="4" t="s">
        <v>13506</v>
      </c>
    </row>
    <row r="2420">
      <c r="A2420" s="4" t="s">
        <v>13507</v>
      </c>
      <c r="B2420" s="4" t="s">
        <v>13508</v>
      </c>
    </row>
    <row r="2421">
      <c r="A2421" s="4" t="s">
        <v>13509</v>
      </c>
      <c r="B2421" s="4" t="s">
        <v>13510</v>
      </c>
    </row>
    <row r="2422">
      <c r="A2422" s="4" t="s">
        <v>13511</v>
      </c>
      <c r="B2422" s="4" t="s">
        <v>13512</v>
      </c>
    </row>
    <row r="2423">
      <c r="A2423" s="4" t="s">
        <v>13513</v>
      </c>
      <c r="B2423" s="4" t="s">
        <v>13514</v>
      </c>
    </row>
    <row r="2424">
      <c r="A2424" s="4" t="s">
        <v>13515</v>
      </c>
      <c r="B2424" s="4" t="s">
        <v>13516</v>
      </c>
    </row>
    <row r="2425">
      <c r="A2425" s="4" t="s">
        <v>13517</v>
      </c>
      <c r="B2425" s="4" t="s">
        <v>13518</v>
      </c>
    </row>
    <row r="2426">
      <c r="A2426" s="4" t="s">
        <v>13519</v>
      </c>
      <c r="B2426" s="4" t="s">
        <v>13520</v>
      </c>
    </row>
    <row r="2427">
      <c r="A2427" s="4" t="s">
        <v>13521</v>
      </c>
      <c r="B2427" s="4" t="s">
        <v>13522</v>
      </c>
    </row>
    <row r="2428">
      <c r="A2428" s="4" t="s">
        <v>13523</v>
      </c>
      <c r="B2428" s="4" t="s">
        <v>13524</v>
      </c>
    </row>
    <row r="2429">
      <c r="A2429" s="4" t="s">
        <v>13525</v>
      </c>
      <c r="B2429" s="4" t="s">
        <v>13526</v>
      </c>
    </row>
    <row r="2430">
      <c r="A2430" s="4" t="s">
        <v>13527</v>
      </c>
      <c r="B2430" s="4" t="s">
        <v>13528</v>
      </c>
    </row>
    <row r="2431">
      <c r="A2431" s="4" t="s">
        <v>13529</v>
      </c>
      <c r="B2431" s="4" t="s">
        <v>13530</v>
      </c>
    </row>
    <row r="2432">
      <c r="A2432" s="4" t="s">
        <v>13531</v>
      </c>
      <c r="B2432" s="4" t="s">
        <v>13532</v>
      </c>
    </row>
    <row r="2433">
      <c r="A2433" s="4" t="s">
        <v>13533</v>
      </c>
      <c r="B2433" s="4" t="s">
        <v>13534</v>
      </c>
    </row>
    <row r="2434">
      <c r="A2434" s="4" t="s">
        <v>13535</v>
      </c>
      <c r="B2434" s="4" t="s">
        <v>13536</v>
      </c>
    </row>
    <row r="2435">
      <c r="A2435" s="4" t="s">
        <v>13537</v>
      </c>
      <c r="B2435" s="4" t="s">
        <v>13538</v>
      </c>
    </row>
    <row r="2436">
      <c r="A2436" s="4" t="s">
        <v>13539</v>
      </c>
      <c r="B2436" s="4" t="s">
        <v>13540</v>
      </c>
    </row>
    <row r="2437">
      <c r="A2437" s="4" t="s">
        <v>13541</v>
      </c>
      <c r="B2437" s="4" t="s">
        <v>13542</v>
      </c>
    </row>
    <row r="2438">
      <c r="A2438" s="4" t="s">
        <v>13543</v>
      </c>
      <c r="B2438" s="4" t="s">
        <v>13544</v>
      </c>
    </row>
    <row r="2439">
      <c r="A2439" s="4" t="s">
        <v>13545</v>
      </c>
      <c r="B2439" s="4" t="s">
        <v>13546</v>
      </c>
    </row>
    <row r="2440">
      <c r="A2440" s="4" t="s">
        <v>13547</v>
      </c>
      <c r="B2440" s="4" t="s">
        <v>13548</v>
      </c>
    </row>
    <row r="2441">
      <c r="A2441" s="4" t="s">
        <v>13549</v>
      </c>
      <c r="B2441" s="4" t="s">
        <v>13550</v>
      </c>
    </row>
    <row r="2442">
      <c r="A2442" s="4" t="s">
        <v>13551</v>
      </c>
      <c r="B2442" s="4" t="s">
        <v>13552</v>
      </c>
    </row>
    <row r="2443">
      <c r="A2443" s="4" t="s">
        <v>13553</v>
      </c>
      <c r="B2443" s="4" t="s">
        <v>13554</v>
      </c>
    </row>
    <row r="2444">
      <c r="A2444" s="4" t="s">
        <v>13555</v>
      </c>
      <c r="B2444" s="4" t="s">
        <v>13556</v>
      </c>
    </row>
    <row r="2445">
      <c r="A2445" s="4" t="s">
        <v>13557</v>
      </c>
      <c r="B2445" s="4" t="s">
        <v>13558</v>
      </c>
    </row>
    <row r="2446">
      <c r="A2446" s="4" t="s">
        <v>13559</v>
      </c>
      <c r="B2446" s="4" t="s">
        <v>13560</v>
      </c>
    </row>
    <row r="2447">
      <c r="A2447" s="4" t="s">
        <v>13561</v>
      </c>
      <c r="B2447" s="4" t="s">
        <v>13562</v>
      </c>
    </row>
    <row r="2448">
      <c r="A2448" s="4" t="s">
        <v>13563</v>
      </c>
      <c r="B2448" s="4" t="s">
        <v>13564</v>
      </c>
    </row>
    <row r="2449">
      <c r="A2449" s="4" t="s">
        <v>13565</v>
      </c>
      <c r="B2449" s="4" t="s">
        <v>13566</v>
      </c>
    </row>
    <row r="2450">
      <c r="A2450" s="4" t="s">
        <v>13567</v>
      </c>
      <c r="B2450" s="4" t="s">
        <v>13568</v>
      </c>
    </row>
    <row r="2451">
      <c r="A2451" s="4" t="s">
        <v>13569</v>
      </c>
      <c r="B2451" s="4" t="s">
        <v>13570</v>
      </c>
    </row>
    <row r="2452">
      <c r="A2452" s="4" t="s">
        <v>13571</v>
      </c>
      <c r="B2452" s="4" t="s">
        <v>13572</v>
      </c>
    </row>
    <row r="2453">
      <c r="A2453" s="4" t="s">
        <v>13573</v>
      </c>
      <c r="B2453" s="4" t="s">
        <v>13574</v>
      </c>
    </row>
    <row r="2454">
      <c r="A2454" s="4" t="s">
        <v>13575</v>
      </c>
      <c r="B2454" s="4" t="s">
        <v>13576</v>
      </c>
    </row>
    <row r="2455">
      <c r="A2455" s="4" t="s">
        <v>13577</v>
      </c>
      <c r="B2455" s="4" t="s">
        <v>13578</v>
      </c>
    </row>
    <row r="2456">
      <c r="A2456" s="4" t="s">
        <v>13579</v>
      </c>
      <c r="B2456" s="4" t="s">
        <v>13580</v>
      </c>
    </row>
    <row r="2457">
      <c r="A2457" s="4" t="s">
        <v>13581</v>
      </c>
      <c r="B2457" s="4" t="s">
        <v>13582</v>
      </c>
    </row>
    <row r="2458">
      <c r="A2458" s="4" t="s">
        <v>13583</v>
      </c>
      <c r="B2458" s="4" t="s">
        <v>13584</v>
      </c>
    </row>
    <row r="2459">
      <c r="A2459" s="4" t="s">
        <v>13585</v>
      </c>
      <c r="B2459" s="4" t="s">
        <v>13586</v>
      </c>
    </row>
    <row r="2460">
      <c r="A2460" s="4" t="s">
        <v>13587</v>
      </c>
      <c r="B2460" s="4" t="s">
        <v>13588</v>
      </c>
    </row>
    <row r="2461">
      <c r="A2461" s="4" t="s">
        <v>13589</v>
      </c>
      <c r="B2461" s="4" t="s">
        <v>13590</v>
      </c>
    </row>
    <row r="2462">
      <c r="A2462" s="4" t="s">
        <v>13591</v>
      </c>
      <c r="B2462" s="4" t="s">
        <v>13592</v>
      </c>
    </row>
    <row r="2463">
      <c r="A2463" s="4" t="s">
        <v>13593</v>
      </c>
      <c r="B2463" s="4" t="s">
        <v>13594</v>
      </c>
    </row>
    <row r="2464">
      <c r="A2464" s="4" t="s">
        <v>13595</v>
      </c>
      <c r="B2464" s="4" t="s">
        <v>13596</v>
      </c>
    </row>
    <row r="2465">
      <c r="A2465" s="4" t="s">
        <v>13597</v>
      </c>
      <c r="B2465" s="4" t="s">
        <v>13598</v>
      </c>
    </row>
    <row r="2466">
      <c r="A2466" s="4" t="s">
        <v>13599</v>
      </c>
      <c r="B2466" s="4" t="s">
        <v>13600</v>
      </c>
    </row>
    <row r="2467">
      <c r="A2467" s="4" t="s">
        <v>13601</v>
      </c>
      <c r="B2467" s="4" t="s">
        <v>13602</v>
      </c>
    </row>
    <row r="2468">
      <c r="A2468" s="4" t="s">
        <v>13603</v>
      </c>
      <c r="B2468" s="4" t="s">
        <v>13604</v>
      </c>
    </row>
    <row r="2469">
      <c r="A2469" s="4" t="s">
        <v>13605</v>
      </c>
      <c r="B2469" s="4" t="s">
        <v>13606</v>
      </c>
    </row>
    <row r="2470">
      <c r="A2470" s="4" t="s">
        <v>13607</v>
      </c>
      <c r="B2470" s="4" t="s">
        <v>13608</v>
      </c>
    </row>
    <row r="2471">
      <c r="A2471" s="4" t="s">
        <v>13609</v>
      </c>
      <c r="B2471" s="4" t="s">
        <v>13610</v>
      </c>
    </row>
    <row r="2472">
      <c r="A2472" s="4" t="s">
        <v>13611</v>
      </c>
      <c r="B2472" s="4" t="s">
        <v>13612</v>
      </c>
    </row>
    <row r="2473">
      <c r="A2473" s="4" t="s">
        <v>13613</v>
      </c>
      <c r="B2473" s="4" t="s">
        <v>13614</v>
      </c>
    </row>
    <row r="2474">
      <c r="A2474" s="4" t="s">
        <v>13615</v>
      </c>
      <c r="B2474" s="4" t="s">
        <v>13616</v>
      </c>
    </row>
    <row r="2475">
      <c r="A2475" s="4" t="s">
        <v>13617</v>
      </c>
      <c r="B2475" s="4" t="s">
        <v>13618</v>
      </c>
    </row>
    <row r="2476">
      <c r="A2476" s="4" t="s">
        <v>13619</v>
      </c>
      <c r="B2476" s="4" t="s">
        <v>13620</v>
      </c>
    </row>
    <row r="2477">
      <c r="A2477" s="4" t="s">
        <v>13621</v>
      </c>
      <c r="B2477" s="4" t="s">
        <v>13622</v>
      </c>
    </row>
    <row r="2478">
      <c r="A2478" s="4" t="s">
        <v>13623</v>
      </c>
      <c r="B2478" s="4" t="s">
        <v>13624</v>
      </c>
    </row>
    <row r="2479">
      <c r="A2479" s="4" t="s">
        <v>13625</v>
      </c>
      <c r="B2479" s="4" t="s">
        <v>13626</v>
      </c>
    </row>
    <row r="2480">
      <c r="A2480" s="4" t="s">
        <v>13627</v>
      </c>
      <c r="B2480" s="4" t="s">
        <v>13628</v>
      </c>
    </row>
    <row r="2481">
      <c r="A2481" s="4" t="s">
        <v>13629</v>
      </c>
      <c r="B2481" s="4" t="s">
        <v>13630</v>
      </c>
    </row>
    <row r="2482">
      <c r="A2482" s="4" t="s">
        <v>13631</v>
      </c>
      <c r="B2482" s="4" t="s">
        <v>13632</v>
      </c>
    </row>
    <row r="2483">
      <c r="A2483" s="4" t="s">
        <v>13633</v>
      </c>
      <c r="B2483" s="4" t="s">
        <v>13634</v>
      </c>
    </row>
    <row r="2484">
      <c r="A2484" s="4" t="s">
        <v>13635</v>
      </c>
      <c r="B2484" s="4" t="s">
        <v>13636</v>
      </c>
    </row>
    <row r="2485">
      <c r="A2485" s="4" t="s">
        <v>13637</v>
      </c>
      <c r="B2485" s="4" t="s">
        <v>13638</v>
      </c>
    </row>
    <row r="2486">
      <c r="A2486" s="4" t="s">
        <v>13639</v>
      </c>
      <c r="B2486" s="4" t="s">
        <v>13640</v>
      </c>
    </row>
    <row r="2487">
      <c r="A2487" s="4" t="s">
        <v>13641</v>
      </c>
      <c r="B2487" s="4" t="s">
        <v>13642</v>
      </c>
    </row>
    <row r="2488">
      <c r="A2488" s="4" t="s">
        <v>13643</v>
      </c>
      <c r="B2488" s="4" t="s">
        <v>13644</v>
      </c>
    </row>
    <row r="2489">
      <c r="A2489" s="4" t="s">
        <v>13645</v>
      </c>
      <c r="B2489" s="4" t="s">
        <v>13646</v>
      </c>
    </row>
    <row r="2490">
      <c r="A2490" s="4" t="s">
        <v>13647</v>
      </c>
      <c r="B2490" s="4" t="s">
        <v>13648</v>
      </c>
    </row>
    <row r="2491">
      <c r="A2491" s="4" t="s">
        <v>13649</v>
      </c>
      <c r="B2491" s="4" t="s">
        <v>13650</v>
      </c>
    </row>
    <row r="2492">
      <c r="A2492" s="4" t="s">
        <v>13651</v>
      </c>
      <c r="B2492" s="4" t="s">
        <v>13652</v>
      </c>
    </row>
    <row r="2493">
      <c r="A2493" s="4" t="s">
        <v>13653</v>
      </c>
      <c r="B2493" s="4" t="s">
        <v>13654</v>
      </c>
    </row>
    <row r="2494">
      <c r="A2494" s="4" t="s">
        <v>13655</v>
      </c>
      <c r="B2494" s="4" t="s">
        <v>13656</v>
      </c>
    </row>
    <row r="2495">
      <c r="A2495" s="4" t="s">
        <v>13657</v>
      </c>
      <c r="B2495" s="4" t="s">
        <v>13658</v>
      </c>
    </row>
    <row r="2496">
      <c r="A2496" s="4" t="s">
        <v>13659</v>
      </c>
      <c r="B2496" s="4" t="s">
        <v>13660</v>
      </c>
    </row>
    <row r="2497">
      <c r="A2497" s="4" t="s">
        <v>13661</v>
      </c>
      <c r="B2497" s="4" t="s">
        <v>13662</v>
      </c>
    </row>
    <row r="2498">
      <c r="A2498" s="4" t="s">
        <v>13663</v>
      </c>
      <c r="B2498" s="4" t="s">
        <v>13664</v>
      </c>
    </row>
    <row r="2499">
      <c r="A2499" s="4" t="s">
        <v>13665</v>
      </c>
      <c r="B2499" s="4" t="s">
        <v>13666</v>
      </c>
    </row>
    <row r="2500">
      <c r="A2500" s="4" t="s">
        <v>13667</v>
      </c>
      <c r="B2500" s="4" t="s">
        <v>13668</v>
      </c>
    </row>
    <row r="2501">
      <c r="A2501" s="4" t="s">
        <v>13669</v>
      </c>
      <c r="B2501" s="4" t="s">
        <v>13670</v>
      </c>
    </row>
    <row r="2502">
      <c r="A2502" s="4" t="s">
        <v>13671</v>
      </c>
      <c r="B2502" s="4" t="s">
        <v>13672</v>
      </c>
    </row>
    <row r="2503">
      <c r="A2503" s="4" t="s">
        <v>13673</v>
      </c>
      <c r="B2503" s="4" t="s">
        <v>13674</v>
      </c>
    </row>
    <row r="2504">
      <c r="A2504" s="4" t="s">
        <v>13675</v>
      </c>
      <c r="B2504" s="4" t="s">
        <v>13676</v>
      </c>
    </row>
    <row r="2505">
      <c r="A2505" s="4" t="s">
        <v>13677</v>
      </c>
      <c r="B2505" s="4" t="s">
        <v>13678</v>
      </c>
    </row>
    <row r="2506">
      <c r="A2506" s="4" t="s">
        <v>13679</v>
      </c>
      <c r="B2506" s="4" t="s">
        <v>13680</v>
      </c>
    </row>
    <row r="2507">
      <c r="A2507" s="4" t="s">
        <v>13681</v>
      </c>
      <c r="B2507" s="4" t="s">
        <v>13682</v>
      </c>
    </row>
    <row r="2508">
      <c r="A2508" s="4" t="s">
        <v>13683</v>
      </c>
      <c r="B2508" s="4" t="s">
        <v>13684</v>
      </c>
    </row>
    <row r="2509">
      <c r="A2509" s="4" t="s">
        <v>13685</v>
      </c>
      <c r="B2509" s="4" t="s">
        <v>13686</v>
      </c>
    </row>
    <row r="2510">
      <c r="A2510" s="4" t="s">
        <v>13687</v>
      </c>
      <c r="B2510" s="4" t="s">
        <v>13688</v>
      </c>
    </row>
    <row r="2511">
      <c r="A2511" s="4" t="s">
        <v>13689</v>
      </c>
      <c r="B2511" s="4" t="s">
        <v>13690</v>
      </c>
    </row>
    <row r="2512">
      <c r="A2512" s="4" t="s">
        <v>13691</v>
      </c>
      <c r="B2512" s="4" t="s">
        <v>13692</v>
      </c>
    </row>
    <row r="2513">
      <c r="A2513" s="4" t="s">
        <v>13693</v>
      </c>
      <c r="B2513" s="4" t="s">
        <v>13694</v>
      </c>
    </row>
    <row r="2514">
      <c r="A2514" s="4" t="s">
        <v>13695</v>
      </c>
      <c r="B2514" s="4" t="s">
        <v>13696</v>
      </c>
    </row>
    <row r="2515">
      <c r="A2515" s="4" t="s">
        <v>13697</v>
      </c>
      <c r="B2515" s="4" t="s">
        <v>13698</v>
      </c>
    </row>
    <row r="2516">
      <c r="A2516" s="4" t="s">
        <v>13699</v>
      </c>
      <c r="B2516" s="4" t="s">
        <v>13700</v>
      </c>
    </row>
    <row r="2517">
      <c r="A2517" s="4" t="s">
        <v>13701</v>
      </c>
      <c r="B2517" s="4" t="s">
        <v>13702</v>
      </c>
    </row>
    <row r="2518">
      <c r="A2518" s="4" t="s">
        <v>13703</v>
      </c>
      <c r="B2518" s="4" t="s">
        <v>13704</v>
      </c>
    </row>
    <row r="2519">
      <c r="A2519" s="4" t="s">
        <v>13705</v>
      </c>
      <c r="B2519" s="4" t="s">
        <v>13706</v>
      </c>
    </row>
    <row r="2520">
      <c r="A2520" s="4" t="s">
        <v>13707</v>
      </c>
      <c r="B2520" s="4" t="s">
        <v>13708</v>
      </c>
    </row>
    <row r="2521">
      <c r="A2521" s="4" t="s">
        <v>13709</v>
      </c>
      <c r="B2521" s="4" t="s">
        <v>13710</v>
      </c>
    </row>
    <row r="2522">
      <c r="A2522" s="4" t="s">
        <v>13711</v>
      </c>
      <c r="B2522" s="4" t="s">
        <v>13712</v>
      </c>
    </row>
    <row r="2523">
      <c r="A2523" s="4" t="s">
        <v>13713</v>
      </c>
      <c r="B2523" s="4" t="s">
        <v>13714</v>
      </c>
    </row>
    <row r="2524">
      <c r="A2524" s="4" t="s">
        <v>13715</v>
      </c>
      <c r="B2524" s="4" t="s">
        <v>13716</v>
      </c>
    </row>
    <row r="2525">
      <c r="A2525" s="4" t="s">
        <v>13717</v>
      </c>
      <c r="B2525" s="4" t="s">
        <v>13718</v>
      </c>
    </row>
    <row r="2526">
      <c r="A2526" s="4" t="s">
        <v>13719</v>
      </c>
      <c r="B2526" s="4" t="s">
        <v>13720</v>
      </c>
    </row>
    <row r="2527">
      <c r="A2527" s="4" t="s">
        <v>13721</v>
      </c>
      <c r="B2527" s="4" t="s">
        <v>13722</v>
      </c>
    </row>
    <row r="2528">
      <c r="A2528" s="4" t="s">
        <v>13723</v>
      </c>
      <c r="B2528" s="4" t="s">
        <v>13724</v>
      </c>
    </row>
    <row r="2529">
      <c r="A2529" s="4" t="s">
        <v>13725</v>
      </c>
      <c r="B2529" s="4" t="s">
        <v>13726</v>
      </c>
    </row>
    <row r="2530">
      <c r="A2530" s="4" t="s">
        <v>13727</v>
      </c>
      <c r="B2530" s="4" t="s">
        <v>13728</v>
      </c>
    </row>
    <row r="2531">
      <c r="A2531" s="4" t="s">
        <v>13729</v>
      </c>
      <c r="B2531" s="4" t="s">
        <v>13730</v>
      </c>
    </row>
    <row r="2532">
      <c r="A2532" s="4" t="s">
        <v>13731</v>
      </c>
      <c r="B2532" s="4" t="s">
        <v>13732</v>
      </c>
    </row>
    <row r="2533">
      <c r="A2533" s="4" t="s">
        <v>13733</v>
      </c>
      <c r="B2533" s="4" t="s">
        <v>13734</v>
      </c>
    </row>
    <row r="2534">
      <c r="A2534" s="4" t="s">
        <v>13735</v>
      </c>
      <c r="B2534" s="4" t="s">
        <v>13736</v>
      </c>
    </row>
    <row r="2535">
      <c r="A2535" s="4" t="s">
        <v>13737</v>
      </c>
      <c r="B2535" s="4" t="s">
        <v>13738</v>
      </c>
    </row>
    <row r="2536">
      <c r="A2536" s="4" t="s">
        <v>13739</v>
      </c>
      <c r="B2536" s="4" t="s">
        <v>13740</v>
      </c>
    </row>
    <row r="2537">
      <c r="A2537" s="4" t="s">
        <v>13741</v>
      </c>
      <c r="B2537" s="4" t="s">
        <v>13742</v>
      </c>
    </row>
    <row r="2538">
      <c r="A2538" s="4" t="s">
        <v>13743</v>
      </c>
      <c r="B2538" s="4" t="s">
        <v>13744</v>
      </c>
    </row>
    <row r="2539">
      <c r="A2539" s="4" t="s">
        <v>13745</v>
      </c>
      <c r="B2539" s="4" t="s">
        <v>13746</v>
      </c>
    </row>
    <row r="2540">
      <c r="A2540" s="4" t="s">
        <v>13747</v>
      </c>
      <c r="B2540" s="4" t="s">
        <v>13748</v>
      </c>
    </row>
    <row r="2541">
      <c r="A2541" s="4" t="s">
        <v>13749</v>
      </c>
      <c r="B2541" s="4" t="s">
        <v>13750</v>
      </c>
    </row>
    <row r="2542">
      <c r="A2542" s="4" t="s">
        <v>13751</v>
      </c>
      <c r="B2542" s="4" t="s">
        <v>13752</v>
      </c>
    </row>
    <row r="2543">
      <c r="A2543" s="4" t="s">
        <v>13753</v>
      </c>
      <c r="B2543" s="4" t="s">
        <v>13754</v>
      </c>
    </row>
    <row r="2544">
      <c r="A2544" s="4" t="s">
        <v>13755</v>
      </c>
      <c r="B2544" s="4" t="s">
        <v>13756</v>
      </c>
    </row>
    <row r="2545">
      <c r="A2545" s="4" t="s">
        <v>13757</v>
      </c>
      <c r="B2545" s="4" t="s">
        <v>13758</v>
      </c>
    </row>
    <row r="2546">
      <c r="A2546" s="4" t="s">
        <v>13759</v>
      </c>
      <c r="B2546" s="4" t="s">
        <v>13760</v>
      </c>
    </row>
    <row r="2547">
      <c r="A2547" s="4" t="s">
        <v>13761</v>
      </c>
      <c r="B2547" s="4" t="s">
        <v>13762</v>
      </c>
    </row>
    <row r="2548">
      <c r="A2548" s="4" t="s">
        <v>13763</v>
      </c>
      <c r="B2548" s="4" t="s">
        <v>13764</v>
      </c>
    </row>
    <row r="2549">
      <c r="A2549" s="4" t="s">
        <v>13765</v>
      </c>
      <c r="B2549" s="4" t="s">
        <v>13766</v>
      </c>
    </row>
    <row r="2550">
      <c r="A2550" s="4" t="s">
        <v>13767</v>
      </c>
      <c r="B2550" s="4" t="s">
        <v>13768</v>
      </c>
    </row>
    <row r="2551">
      <c r="A2551" s="4" t="s">
        <v>13769</v>
      </c>
      <c r="B2551" s="4" t="s">
        <v>13770</v>
      </c>
    </row>
    <row r="2552">
      <c r="A2552" s="4" t="s">
        <v>13771</v>
      </c>
      <c r="B2552" s="4" t="s">
        <v>13772</v>
      </c>
    </row>
    <row r="2553">
      <c r="A2553" s="4" t="s">
        <v>13773</v>
      </c>
      <c r="B2553" s="4" t="s">
        <v>13774</v>
      </c>
    </row>
    <row r="2554">
      <c r="A2554" s="4" t="s">
        <v>13775</v>
      </c>
      <c r="B2554" s="4" t="s">
        <v>13776</v>
      </c>
    </row>
    <row r="2555">
      <c r="A2555" s="4" t="s">
        <v>13777</v>
      </c>
      <c r="B2555" s="4" t="s">
        <v>13778</v>
      </c>
    </row>
    <row r="2556">
      <c r="A2556" s="4" t="s">
        <v>13779</v>
      </c>
      <c r="B2556" s="4" t="s">
        <v>13780</v>
      </c>
    </row>
    <row r="2557">
      <c r="A2557" s="4" t="s">
        <v>13781</v>
      </c>
      <c r="B2557" s="4" t="s">
        <v>13782</v>
      </c>
    </row>
    <row r="2558">
      <c r="A2558" s="4" t="s">
        <v>13783</v>
      </c>
      <c r="B2558" s="4" t="s">
        <v>13784</v>
      </c>
    </row>
    <row r="2559">
      <c r="A2559" s="4" t="s">
        <v>13785</v>
      </c>
      <c r="B2559" s="4" t="s">
        <v>13786</v>
      </c>
    </row>
    <row r="2560">
      <c r="A2560" s="4" t="s">
        <v>13787</v>
      </c>
      <c r="B2560" s="4" t="s">
        <v>13788</v>
      </c>
    </row>
    <row r="2561">
      <c r="A2561" s="4" t="s">
        <v>13789</v>
      </c>
      <c r="B2561" s="4" t="s">
        <v>13790</v>
      </c>
    </row>
    <row r="2562">
      <c r="A2562" s="4" t="s">
        <v>13791</v>
      </c>
      <c r="B2562" s="4" t="s">
        <v>13792</v>
      </c>
    </row>
    <row r="2563">
      <c r="A2563" s="4" t="s">
        <v>13793</v>
      </c>
      <c r="B2563" s="4" t="s">
        <v>13794</v>
      </c>
    </row>
    <row r="2564">
      <c r="A2564" s="4" t="s">
        <v>13795</v>
      </c>
      <c r="B2564" s="4" t="s">
        <v>13796</v>
      </c>
    </row>
    <row r="2565">
      <c r="A2565" s="4" t="s">
        <v>13797</v>
      </c>
      <c r="B2565" s="4" t="s">
        <v>13798</v>
      </c>
    </row>
    <row r="2566">
      <c r="A2566" s="4" t="s">
        <v>13799</v>
      </c>
      <c r="B2566" s="4" t="s">
        <v>13800</v>
      </c>
    </row>
    <row r="2567">
      <c r="A2567" s="4" t="s">
        <v>13801</v>
      </c>
      <c r="B2567" s="4" t="s">
        <v>13802</v>
      </c>
    </row>
    <row r="2568">
      <c r="A2568" s="4" t="s">
        <v>13803</v>
      </c>
      <c r="B2568" s="4" t="s">
        <v>13804</v>
      </c>
    </row>
    <row r="2569">
      <c r="A2569" s="4" t="s">
        <v>13805</v>
      </c>
      <c r="B2569" s="4" t="s">
        <v>13806</v>
      </c>
    </row>
    <row r="2570">
      <c r="A2570" s="4" t="s">
        <v>13807</v>
      </c>
      <c r="B2570" s="4" t="s">
        <v>13808</v>
      </c>
    </row>
    <row r="2571">
      <c r="A2571" s="4" t="s">
        <v>13809</v>
      </c>
      <c r="B2571" s="4" t="s">
        <v>13810</v>
      </c>
    </row>
    <row r="2572">
      <c r="A2572" s="4" t="s">
        <v>13811</v>
      </c>
      <c r="B2572" s="4" t="s">
        <v>13812</v>
      </c>
    </row>
    <row r="2573">
      <c r="A2573" s="4" t="s">
        <v>13813</v>
      </c>
      <c r="B2573" s="4" t="s">
        <v>13814</v>
      </c>
    </row>
    <row r="2574">
      <c r="A2574" s="4" t="s">
        <v>13815</v>
      </c>
      <c r="B2574" s="4" t="s">
        <v>13816</v>
      </c>
    </row>
    <row r="2575">
      <c r="A2575" s="4" t="s">
        <v>13817</v>
      </c>
      <c r="B2575" s="4" t="s">
        <v>13818</v>
      </c>
    </row>
    <row r="2576">
      <c r="A2576" s="4" t="s">
        <v>13819</v>
      </c>
      <c r="B2576" s="4" t="s">
        <v>13820</v>
      </c>
    </row>
    <row r="2577">
      <c r="A2577" s="4" t="s">
        <v>13821</v>
      </c>
      <c r="B2577" s="4" t="s">
        <v>13822</v>
      </c>
    </row>
    <row r="2578">
      <c r="A2578" s="4" t="s">
        <v>13823</v>
      </c>
      <c r="B2578" s="4" t="s">
        <v>13824</v>
      </c>
    </row>
    <row r="2579">
      <c r="A2579" s="4" t="s">
        <v>13825</v>
      </c>
      <c r="B2579" s="4" t="s">
        <v>13826</v>
      </c>
    </row>
    <row r="2580">
      <c r="A2580" s="4" t="s">
        <v>13827</v>
      </c>
      <c r="B2580" s="4" t="s">
        <v>13828</v>
      </c>
    </row>
    <row r="2581">
      <c r="A2581" s="4" t="s">
        <v>13829</v>
      </c>
      <c r="B2581" s="4" t="s">
        <v>13830</v>
      </c>
    </row>
    <row r="2582">
      <c r="A2582" s="4" t="s">
        <v>13831</v>
      </c>
      <c r="B2582" s="4" t="s">
        <v>13832</v>
      </c>
    </row>
    <row r="2583">
      <c r="A2583" s="4" t="s">
        <v>13833</v>
      </c>
      <c r="B2583" s="4" t="s">
        <v>13834</v>
      </c>
    </row>
    <row r="2584">
      <c r="A2584" s="4" t="s">
        <v>13835</v>
      </c>
      <c r="B2584" s="4" t="s">
        <v>13836</v>
      </c>
    </row>
    <row r="2585">
      <c r="A2585" s="4" t="s">
        <v>13837</v>
      </c>
      <c r="B2585" s="4" t="s">
        <v>13838</v>
      </c>
    </row>
    <row r="2586">
      <c r="A2586" s="4" t="s">
        <v>13839</v>
      </c>
      <c r="B2586" s="4" t="s">
        <v>13840</v>
      </c>
    </row>
    <row r="2587">
      <c r="A2587" s="4" t="s">
        <v>13841</v>
      </c>
      <c r="B2587" s="4" t="s">
        <v>13842</v>
      </c>
    </row>
    <row r="2588">
      <c r="A2588" s="4" t="s">
        <v>13843</v>
      </c>
      <c r="B2588" s="4" t="s">
        <v>13844</v>
      </c>
    </row>
    <row r="2589">
      <c r="A2589" s="4" t="s">
        <v>13845</v>
      </c>
      <c r="B2589" s="4" t="s">
        <v>13846</v>
      </c>
    </row>
    <row r="2590">
      <c r="A2590" s="4" t="s">
        <v>13847</v>
      </c>
      <c r="B2590" s="4" t="s">
        <v>13848</v>
      </c>
    </row>
    <row r="2591">
      <c r="A2591" s="4" t="s">
        <v>13849</v>
      </c>
      <c r="B2591" s="4" t="s">
        <v>13850</v>
      </c>
    </row>
    <row r="2592">
      <c r="A2592" s="4" t="s">
        <v>13851</v>
      </c>
      <c r="B2592" s="4" t="s">
        <v>13852</v>
      </c>
    </row>
    <row r="2593">
      <c r="A2593" s="4" t="s">
        <v>13853</v>
      </c>
      <c r="B2593" s="4" t="s">
        <v>13854</v>
      </c>
    </row>
    <row r="2594">
      <c r="A2594" s="4" t="s">
        <v>13855</v>
      </c>
      <c r="B2594" s="4" t="s">
        <v>13856</v>
      </c>
    </row>
    <row r="2595">
      <c r="A2595" s="4" t="s">
        <v>13857</v>
      </c>
      <c r="B2595" s="4" t="s">
        <v>13858</v>
      </c>
    </row>
    <row r="2596">
      <c r="A2596" s="4" t="s">
        <v>13859</v>
      </c>
      <c r="B2596" s="4" t="s">
        <v>13860</v>
      </c>
    </row>
    <row r="2597">
      <c r="A2597" s="4" t="s">
        <v>13861</v>
      </c>
      <c r="B2597" s="4" t="s">
        <v>13862</v>
      </c>
    </row>
    <row r="2598">
      <c r="A2598" s="4" t="s">
        <v>13863</v>
      </c>
      <c r="B2598" s="4" t="s">
        <v>13864</v>
      </c>
    </row>
    <row r="2599">
      <c r="A2599" s="4" t="s">
        <v>13865</v>
      </c>
      <c r="B2599" s="4" t="s">
        <v>13866</v>
      </c>
    </row>
    <row r="2600">
      <c r="A2600" s="4" t="s">
        <v>13867</v>
      </c>
      <c r="B2600" s="4" t="s">
        <v>13868</v>
      </c>
    </row>
    <row r="2601">
      <c r="A2601" s="4" t="s">
        <v>13869</v>
      </c>
      <c r="B2601" s="4" t="s">
        <v>13870</v>
      </c>
    </row>
    <row r="2602">
      <c r="A2602" s="4" t="s">
        <v>13871</v>
      </c>
      <c r="B2602" s="4" t="s">
        <v>13872</v>
      </c>
    </row>
    <row r="2603">
      <c r="A2603" s="4" t="s">
        <v>13873</v>
      </c>
      <c r="B2603" s="4" t="s">
        <v>13874</v>
      </c>
    </row>
    <row r="2604">
      <c r="A2604" s="4" t="s">
        <v>13875</v>
      </c>
      <c r="B2604" s="4" t="s">
        <v>13876</v>
      </c>
    </row>
    <row r="2605">
      <c r="A2605" s="4" t="s">
        <v>13877</v>
      </c>
      <c r="B2605" s="4" t="s">
        <v>13878</v>
      </c>
    </row>
    <row r="2606">
      <c r="A2606" s="4" t="s">
        <v>13879</v>
      </c>
      <c r="B2606" s="4" t="s">
        <v>13880</v>
      </c>
    </row>
    <row r="2607">
      <c r="A2607" s="4" t="s">
        <v>13881</v>
      </c>
      <c r="B2607" s="4" t="s">
        <v>13882</v>
      </c>
    </row>
    <row r="2608">
      <c r="A2608" s="4" t="s">
        <v>13883</v>
      </c>
      <c r="B2608" s="4" t="s">
        <v>13884</v>
      </c>
    </row>
    <row r="2609">
      <c r="A2609" s="4" t="s">
        <v>13885</v>
      </c>
      <c r="B2609" s="4" t="s">
        <v>13886</v>
      </c>
    </row>
    <row r="2610">
      <c r="A2610" s="4" t="s">
        <v>13887</v>
      </c>
      <c r="B2610" s="4" t="s">
        <v>13888</v>
      </c>
    </row>
    <row r="2611">
      <c r="A2611" s="4" t="s">
        <v>13889</v>
      </c>
      <c r="B2611" s="4" t="s">
        <v>13890</v>
      </c>
    </row>
    <row r="2612">
      <c r="A2612" s="4" t="s">
        <v>13891</v>
      </c>
      <c r="B2612" s="4" t="s">
        <v>13892</v>
      </c>
    </row>
    <row r="2613">
      <c r="A2613" s="4" t="s">
        <v>13893</v>
      </c>
      <c r="B2613" s="4" t="s">
        <v>13894</v>
      </c>
    </row>
    <row r="2614">
      <c r="A2614" s="4" t="s">
        <v>13895</v>
      </c>
      <c r="B2614" s="4" t="s">
        <v>13896</v>
      </c>
    </row>
    <row r="2615">
      <c r="A2615" s="4" t="s">
        <v>13897</v>
      </c>
      <c r="B2615" s="4" t="s">
        <v>13898</v>
      </c>
    </row>
    <row r="2616">
      <c r="A2616" s="4" t="s">
        <v>13899</v>
      </c>
      <c r="B2616" s="4" t="s">
        <v>13900</v>
      </c>
    </row>
    <row r="2617">
      <c r="A2617" s="4" t="s">
        <v>13901</v>
      </c>
      <c r="B2617" s="4" t="s">
        <v>13902</v>
      </c>
    </row>
    <row r="2618">
      <c r="A2618" s="4" t="s">
        <v>13903</v>
      </c>
      <c r="B2618" s="4" t="s">
        <v>13904</v>
      </c>
    </row>
    <row r="2619">
      <c r="A2619" s="4" t="s">
        <v>13905</v>
      </c>
      <c r="B2619" s="4" t="s">
        <v>13906</v>
      </c>
    </row>
    <row r="2620">
      <c r="A2620" s="4" t="s">
        <v>13907</v>
      </c>
      <c r="B2620" s="4" t="s">
        <v>13908</v>
      </c>
    </row>
    <row r="2621">
      <c r="A2621" s="4" t="s">
        <v>13909</v>
      </c>
      <c r="B2621" s="4" t="s">
        <v>13910</v>
      </c>
    </row>
    <row r="2622">
      <c r="A2622" s="4" t="s">
        <v>13911</v>
      </c>
      <c r="B2622" s="4" t="s">
        <v>13912</v>
      </c>
    </row>
    <row r="2623">
      <c r="A2623" s="4" t="s">
        <v>13913</v>
      </c>
      <c r="B2623" s="4" t="s">
        <v>13914</v>
      </c>
    </row>
    <row r="2624">
      <c r="A2624" s="4" t="s">
        <v>13915</v>
      </c>
      <c r="B2624" s="4" t="s">
        <v>13916</v>
      </c>
    </row>
    <row r="2625">
      <c r="A2625" s="4" t="s">
        <v>13917</v>
      </c>
      <c r="B2625" s="4" t="s">
        <v>13918</v>
      </c>
    </row>
    <row r="2626">
      <c r="A2626" s="4" t="s">
        <v>13919</v>
      </c>
      <c r="B2626" s="4" t="s">
        <v>13920</v>
      </c>
    </row>
    <row r="2627">
      <c r="A2627" s="4" t="s">
        <v>13921</v>
      </c>
      <c r="B2627" s="4" t="s">
        <v>13922</v>
      </c>
    </row>
    <row r="2628">
      <c r="A2628" s="4" t="s">
        <v>13923</v>
      </c>
      <c r="B2628" s="4" t="s">
        <v>13924</v>
      </c>
    </row>
    <row r="2629">
      <c r="A2629" s="4" t="s">
        <v>13925</v>
      </c>
      <c r="B2629" s="4" t="s">
        <v>13926</v>
      </c>
    </row>
    <row r="2630">
      <c r="A2630" s="4" t="s">
        <v>13927</v>
      </c>
      <c r="B2630" s="4" t="s">
        <v>13928</v>
      </c>
    </row>
    <row r="2631">
      <c r="A2631" s="4" t="s">
        <v>13929</v>
      </c>
      <c r="B2631" s="4" t="s">
        <v>13930</v>
      </c>
    </row>
    <row r="2632">
      <c r="A2632" s="4" t="s">
        <v>13931</v>
      </c>
      <c r="B2632" s="4" t="s">
        <v>13932</v>
      </c>
    </row>
    <row r="2633">
      <c r="A2633" s="4" t="s">
        <v>13933</v>
      </c>
      <c r="B2633" s="4" t="s">
        <v>13934</v>
      </c>
    </row>
    <row r="2634">
      <c r="A2634" s="4" t="s">
        <v>13935</v>
      </c>
      <c r="B2634" s="4" t="s">
        <v>13936</v>
      </c>
    </row>
    <row r="2635">
      <c r="A2635" s="4" t="s">
        <v>13937</v>
      </c>
      <c r="B2635" s="4" t="s">
        <v>13938</v>
      </c>
    </row>
    <row r="2636">
      <c r="A2636" s="4" t="s">
        <v>13939</v>
      </c>
      <c r="B2636" s="4" t="s">
        <v>13940</v>
      </c>
    </row>
    <row r="2637">
      <c r="A2637" s="4" t="s">
        <v>13941</v>
      </c>
      <c r="B2637" s="4" t="s">
        <v>13942</v>
      </c>
    </row>
    <row r="2638">
      <c r="A2638" s="4" t="s">
        <v>13943</v>
      </c>
      <c r="B2638" s="4" t="s">
        <v>13944</v>
      </c>
    </row>
    <row r="2639">
      <c r="A2639" s="4" t="s">
        <v>13945</v>
      </c>
      <c r="B2639" s="4" t="s">
        <v>13946</v>
      </c>
    </row>
    <row r="2640">
      <c r="A2640" s="4" t="s">
        <v>13947</v>
      </c>
      <c r="B2640" s="4" t="s">
        <v>13948</v>
      </c>
    </row>
    <row r="2641">
      <c r="A2641" s="4" t="s">
        <v>13949</v>
      </c>
      <c r="B2641" s="4" t="s">
        <v>13950</v>
      </c>
    </row>
    <row r="2642">
      <c r="A2642" s="4" t="s">
        <v>13951</v>
      </c>
      <c r="B2642" s="4" t="s">
        <v>13952</v>
      </c>
    </row>
    <row r="2643">
      <c r="A2643" s="4" t="s">
        <v>13953</v>
      </c>
      <c r="B2643" s="4" t="s">
        <v>13954</v>
      </c>
    </row>
    <row r="2644">
      <c r="A2644" s="4" t="s">
        <v>13955</v>
      </c>
      <c r="B2644" s="4" t="s">
        <v>13956</v>
      </c>
    </row>
    <row r="2645">
      <c r="A2645" s="4" t="s">
        <v>13957</v>
      </c>
      <c r="B2645" s="4" t="s">
        <v>13958</v>
      </c>
    </row>
    <row r="2646">
      <c r="A2646" s="4" t="s">
        <v>13959</v>
      </c>
      <c r="B2646" s="4" t="s">
        <v>13960</v>
      </c>
    </row>
    <row r="2647">
      <c r="A2647" s="4" t="s">
        <v>13961</v>
      </c>
      <c r="B2647" s="4" t="s">
        <v>13962</v>
      </c>
    </row>
    <row r="2648">
      <c r="A2648" s="4" t="s">
        <v>13963</v>
      </c>
      <c r="B2648" s="4" t="s">
        <v>13964</v>
      </c>
    </row>
    <row r="2649">
      <c r="A2649" s="4" t="s">
        <v>13965</v>
      </c>
      <c r="B2649" s="4" t="s">
        <v>13966</v>
      </c>
    </row>
    <row r="2650">
      <c r="A2650" s="4" t="s">
        <v>13967</v>
      </c>
      <c r="B2650" s="4" t="s">
        <v>13968</v>
      </c>
    </row>
    <row r="2651">
      <c r="A2651" s="4" t="s">
        <v>13969</v>
      </c>
      <c r="B2651" s="4" t="s">
        <v>13970</v>
      </c>
    </row>
    <row r="2652">
      <c r="A2652" s="4" t="s">
        <v>13971</v>
      </c>
      <c r="B2652" s="4" t="s">
        <v>13972</v>
      </c>
    </row>
    <row r="2653">
      <c r="A2653" s="4" t="s">
        <v>13973</v>
      </c>
      <c r="B2653" s="4" t="s">
        <v>13974</v>
      </c>
    </row>
    <row r="2654">
      <c r="A2654" s="4" t="s">
        <v>13975</v>
      </c>
      <c r="B2654" s="4" t="s">
        <v>13976</v>
      </c>
    </row>
    <row r="2655">
      <c r="A2655" s="4" t="s">
        <v>13977</v>
      </c>
      <c r="B2655" s="4" t="s">
        <v>13978</v>
      </c>
    </row>
    <row r="2656">
      <c r="A2656" s="4" t="s">
        <v>13979</v>
      </c>
      <c r="B2656" s="4" t="s">
        <v>13980</v>
      </c>
    </row>
    <row r="2657">
      <c r="A2657" s="4" t="s">
        <v>13981</v>
      </c>
      <c r="B2657" s="4" t="s">
        <v>13982</v>
      </c>
    </row>
    <row r="2658">
      <c r="A2658" s="4" t="s">
        <v>13983</v>
      </c>
      <c r="B2658" s="4" t="s">
        <v>13984</v>
      </c>
    </row>
    <row r="2659">
      <c r="A2659" s="4" t="s">
        <v>13985</v>
      </c>
      <c r="B2659" s="4" t="s">
        <v>13986</v>
      </c>
    </row>
    <row r="2660">
      <c r="A2660" s="4" t="s">
        <v>13987</v>
      </c>
      <c r="B2660" s="4" t="s">
        <v>13988</v>
      </c>
    </row>
    <row r="2661">
      <c r="A2661" s="4" t="s">
        <v>13989</v>
      </c>
      <c r="B2661" s="4" t="s">
        <v>13990</v>
      </c>
    </row>
    <row r="2662">
      <c r="A2662" s="4" t="s">
        <v>13991</v>
      </c>
      <c r="B2662" s="4" t="s">
        <v>13992</v>
      </c>
    </row>
    <row r="2663">
      <c r="A2663" s="4" t="s">
        <v>13993</v>
      </c>
      <c r="B2663" s="4" t="s">
        <v>13994</v>
      </c>
    </row>
    <row r="2664">
      <c r="A2664" s="4" t="s">
        <v>13995</v>
      </c>
      <c r="B2664" s="4" t="s">
        <v>13996</v>
      </c>
    </row>
    <row r="2665">
      <c r="A2665" s="4" t="s">
        <v>13997</v>
      </c>
      <c r="B2665" s="4" t="s">
        <v>13998</v>
      </c>
    </row>
    <row r="2666">
      <c r="A2666" s="4" t="s">
        <v>13999</v>
      </c>
      <c r="B2666" s="4" t="s">
        <v>14000</v>
      </c>
    </row>
    <row r="2667">
      <c r="A2667" s="4" t="s">
        <v>14001</v>
      </c>
      <c r="B2667" s="4" t="s">
        <v>14002</v>
      </c>
    </row>
    <row r="2668">
      <c r="A2668" s="4" t="s">
        <v>14003</v>
      </c>
      <c r="B2668" s="4" t="s">
        <v>14004</v>
      </c>
    </row>
    <row r="2669">
      <c r="A2669" s="4" t="s">
        <v>14005</v>
      </c>
      <c r="B2669" s="4" t="s">
        <v>14006</v>
      </c>
    </row>
    <row r="2670">
      <c r="A2670" s="4" t="s">
        <v>14007</v>
      </c>
      <c r="B2670" s="4" t="s">
        <v>14008</v>
      </c>
    </row>
    <row r="2671">
      <c r="A2671" s="4" t="s">
        <v>14009</v>
      </c>
      <c r="B2671" s="4" t="s">
        <v>14010</v>
      </c>
    </row>
    <row r="2672">
      <c r="A2672" s="4" t="s">
        <v>14011</v>
      </c>
      <c r="B2672" s="4" t="s">
        <v>14012</v>
      </c>
    </row>
    <row r="2673">
      <c r="A2673" s="4" t="s">
        <v>14013</v>
      </c>
      <c r="B2673" s="4" t="s">
        <v>14014</v>
      </c>
    </row>
    <row r="2674">
      <c r="A2674" s="4" t="s">
        <v>14015</v>
      </c>
      <c r="B2674" s="4" t="s">
        <v>14016</v>
      </c>
    </row>
    <row r="2675">
      <c r="A2675" s="4" t="s">
        <v>14017</v>
      </c>
      <c r="B2675" s="4" t="s">
        <v>14018</v>
      </c>
    </row>
    <row r="2676">
      <c r="A2676" s="4" t="s">
        <v>14019</v>
      </c>
      <c r="B2676" s="4" t="s">
        <v>14020</v>
      </c>
    </row>
    <row r="2677">
      <c r="A2677" s="4" t="s">
        <v>14021</v>
      </c>
      <c r="B2677" s="4" t="s">
        <v>14022</v>
      </c>
    </row>
    <row r="2678">
      <c r="A2678" s="4" t="s">
        <v>14023</v>
      </c>
      <c r="B2678" s="4" t="s">
        <v>14024</v>
      </c>
    </row>
    <row r="2679">
      <c r="A2679" s="4" t="s">
        <v>14025</v>
      </c>
      <c r="B2679" s="4" t="s">
        <v>14026</v>
      </c>
    </row>
    <row r="2680">
      <c r="A2680" s="4" t="s">
        <v>14027</v>
      </c>
      <c r="B2680" s="4" t="s">
        <v>14028</v>
      </c>
    </row>
    <row r="2681">
      <c r="A2681" s="4" t="s">
        <v>14029</v>
      </c>
      <c r="B2681" s="4" t="s">
        <v>14030</v>
      </c>
    </row>
    <row r="2682">
      <c r="A2682" s="4" t="s">
        <v>14031</v>
      </c>
      <c r="B2682" s="4" t="s">
        <v>14032</v>
      </c>
    </row>
    <row r="2683">
      <c r="A2683" s="4" t="s">
        <v>14033</v>
      </c>
      <c r="B2683" s="4" t="s">
        <v>14034</v>
      </c>
    </row>
    <row r="2684">
      <c r="A2684" s="4" t="s">
        <v>14035</v>
      </c>
      <c r="B2684" s="4" t="s">
        <v>14036</v>
      </c>
    </row>
    <row r="2685">
      <c r="A2685" s="4" t="s">
        <v>14037</v>
      </c>
      <c r="B2685" s="4" t="s">
        <v>14038</v>
      </c>
    </row>
    <row r="2686">
      <c r="A2686" s="4" t="s">
        <v>14039</v>
      </c>
      <c r="B2686" s="4" t="s">
        <v>14040</v>
      </c>
    </row>
    <row r="2687">
      <c r="A2687" s="4" t="s">
        <v>14041</v>
      </c>
      <c r="B2687" s="4" t="s">
        <v>14042</v>
      </c>
    </row>
    <row r="2688">
      <c r="A2688" s="4" t="s">
        <v>14043</v>
      </c>
      <c r="B2688" s="4" t="s">
        <v>14044</v>
      </c>
    </row>
    <row r="2689">
      <c r="A2689" s="4" t="s">
        <v>14045</v>
      </c>
      <c r="B2689" s="4" t="s">
        <v>14046</v>
      </c>
    </row>
    <row r="2690">
      <c r="A2690" s="4" t="s">
        <v>14047</v>
      </c>
      <c r="B2690" s="4" t="s">
        <v>14048</v>
      </c>
    </row>
    <row r="2691">
      <c r="A2691" s="4" t="s">
        <v>14049</v>
      </c>
      <c r="B2691" s="4" t="s">
        <v>14050</v>
      </c>
    </row>
    <row r="2692">
      <c r="A2692" s="4" t="s">
        <v>14051</v>
      </c>
      <c r="B2692" s="4" t="s">
        <v>14052</v>
      </c>
    </row>
    <row r="2693">
      <c r="A2693" s="4" t="s">
        <v>14053</v>
      </c>
      <c r="B2693" s="4" t="s">
        <v>14054</v>
      </c>
    </row>
    <row r="2694">
      <c r="A2694" s="4" t="s">
        <v>14055</v>
      </c>
      <c r="B2694" s="4" t="s">
        <v>14056</v>
      </c>
    </row>
    <row r="2695">
      <c r="A2695" s="4" t="s">
        <v>14057</v>
      </c>
      <c r="B2695" s="4" t="s">
        <v>14058</v>
      </c>
    </row>
    <row r="2696">
      <c r="A2696" s="4" t="s">
        <v>14059</v>
      </c>
      <c r="B2696" s="4" t="s">
        <v>14060</v>
      </c>
    </row>
    <row r="2697">
      <c r="A2697" s="4" t="s">
        <v>14061</v>
      </c>
      <c r="B2697" s="4" t="s">
        <v>14062</v>
      </c>
    </row>
    <row r="2698">
      <c r="A2698" s="4" t="s">
        <v>14063</v>
      </c>
      <c r="B2698" s="4" t="s">
        <v>14064</v>
      </c>
    </row>
    <row r="2699">
      <c r="A2699" s="4" t="s">
        <v>14065</v>
      </c>
      <c r="B2699" s="4" t="s">
        <v>14066</v>
      </c>
    </row>
    <row r="2700">
      <c r="A2700" s="4" t="s">
        <v>14067</v>
      </c>
      <c r="B2700" s="4" t="s">
        <v>14068</v>
      </c>
    </row>
    <row r="2701">
      <c r="A2701" s="4" t="s">
        <v>14069</v>
      </c>
      <c r="B2701" s="4" t="s">
        <v>14070</v>
      </c>
    </row>
    <row r="2702">
      <c r="A2702" s="4" t="s">
        <v>14071</v>
      </c>
      <c r="B2702" s="4" t="s">
        <v>14072</v>
      </c>
    </row>
    <row r="2703">
      <c r="A2703" s="4" t="s">
        <v>14073</v>
      </c>
      <c r="B2703" s="4" t="s">
        <v>14074</v>
      </c>
    </row>
    <row r="2704">
      <c r="A2704" s="4" t="s">
        <v>14075</v>
      </c>
      <c r="B2704" s="4" t="s">
        <v>14076</v>
      </c>
    </row>
    <row r="2705">
      <c r="A2705" s="4" t="s">
        <v>14077</v>
      </c>
      <c r="B2705" s="4" t="s">
        <v>14078</v>
      </c>
    </row>
    <row r="2706">
      <c r="A2706" s="4" t="s">
        <v>14079</v>
      </c>
      <c r="B2706" s="4" t="s">
        <v>14080</v>
      </c>
    </row>
    <row r="2707">
      <c r="A2707" s="4" t="s">
        <v>14081</v>
      </c>
      <c r="B2707" s="4" t="s">
        <v>14082</v>
      </c>
    </row>
    <row r="2708">
      <c r="A2708" s="4" t="s">
        <v>14083</v>
      </c>
      <c r="B2708" s="4" t="s">
        <v>14084</v>
      </c>
    </row>
    <row r="2709">
      <c r="A2709" s="4" t="s">
        <v>14085</v>
      </c>
      <c r="B2709" s="4" t="s">
        <v>14086</v>
      </c>
    </row>
    <row r="2710">
      <c r="A2710" s="4" t="s">
        <v>14087</v>
      </c>
      <c r="B2710" s="4" t="s">
        <v>14088</v>
      </c>
    </row>
    <row r="2711">
      <c r="A2711" s="4" t="s">
        <v>14089</v>
      </c>
      <c r="B2711" s="4" t="s">
        <v>14090</v>
      </c>
    </row>
    <row r="2712">
      <c r="A2712" s="4" t="s">
        <v>14091</v>
      </c>
      <c r="B2712" s="4" t="s">
        <v>14092</v>
      </c>
    </row>
    <row r="2713">
      <c r="A2713" s="4" t="s">
        <v>14093</v>
      </c>
      <c r="B2713" s="4" t="s">
        <v>14094</v>
      </c>
    </row>
    <row r="2714">
      <c r="A2714" s="4" t="s">
        <v>14095</v>
      </c>
      <c r="B2714" s="4" t="s">
        <v>14096</v>
      </c>
    </row>
    <row r="2715">
      <c r="A2715" s="4" t="s">
        <v>14097</v>
      </c>
      <c r="B2715" s="4" t="s">
        <v>14098</v>
      </c>
    </row>
    <row r="2716">
      <c r="A2716" s="4" t="s">
        <v>14099</v>
      </c>
      <c r="B2716" s="4" t="s">
        <v>14100</v>
      </c>
    </row>
    <row r="2717">
      <c r="A2717" s="4" t="s">
        <v>14101</v>
      </c>
      <c r="B2717" s="4" t="s">
        <v>14102</v>
      </c>
    </row>
    <row r="2718">
      <c r="A2718" s="4" t="s">
        <v>14103</v>
      </c>
      <c r="B2718" s="4" t="s">
        <v>14104</v>
      </c>
    </row>
    <row r="2719">
      <c r="A2719" s="4" t="s">
        <v>14105</v>
      </c>
      <c r="B2719" s="4" t="s">
        <v>14106</v>
      </c>
    </row>
    <row r="2720">
      <c r="A2720" s="4" t="s">
        <v>14107</v>
      </c>
      <c r="B2720" s="4" t="s">
        <v>14108</v>
      </c>
    </row>
    <row r="2721">
      <c r="A2721" s="4" t="s">
        <v>14109</v>
      </c>
      <c r="B2721" s="4" t="s">
        <v>14110</v>
      </c>
    </row>
    <row r="2722">
      <c r="A2722" s="4" t="s">
        <v>14111</v>
      </c>
      <c r="B2722" s="4" t="s">
        <v>14112</v>
      </c>
    </row>
    <row r="2723">
      <c r="A2723" s="4" t="s">
        <v>14113</v>
      </c>
      <c r="B2723" s="4" t="s">
        <v>14114</v>
      </c>
    </row>
    <row r="2724">
      <c r="A2724" s="4" t="s">
        <v>14115</v>
      </c>
      <c r="B2724" s="4" t="s">
        <v>14116</v>
      </c>
    </row>
    <row r="2725">
      <c r="A2725" s="4" t="s">
        <v>14117</v>
      </c>
      <c r="B2725" s="4" t="s">
        <v>14118</v>
      </c>
    </row>
    <row r="2726">
      <c r="A2726" s="4" t="s">
        <v>14119</v>
      </c>
      <c r="B2726" s="4" t="s">
        <v>14120</v>
      </c>
    </row>
    <row r="2727">
      <c r="A2727" s="4" t="s">
        <v>14121</v>
      </c>
      <c r="B2727" s="4" t="s">
        <v>14122</v>
      </c>
    </row>
    <row r="2728">
      <c r="A2728" s="4" t="s">
        <v>14123</v>
      </c>
      <c r="B2728" s="4" t="s">
        <v>14124</v>
      </c>
    </row>
    <row r="2729">
      <c r="A2729" s="4" t="s">
        <v>14125</v>
      </c>
      <c r="B2729" s="4" t="s">
        <v>14126</v>
      </c>
    </row>
    <row r="2730">
      <c r="A2730" s="4" t="s">
        <v>14127</v>
      </c>
      <c r="B2730" s="4" t="s">
        <v>14128</v>
      </c>
    </row>
    <row r="2731">
      <c r="A2731" s="4" t="s">
        <v>14129</v>
      </c>
      <c r="B2731" s="4" t="s">
        <v>14130</v>
      </c>
    </row>
    <row r="2732">
      <c r="A2732" s="4" t="s">
        <v>14131</v>
      </c>
      <c r="B2732" s="4" t="s">
        <v>14132</v>
      </c>
    </row>
    <row r="2733">
      <c r="A2733" s="4" t="s">
        <v>14133</v>
      </c>
      <c r="B2733" s="4" t="s">
        <v>14134</v>
      </c>
    </row>
    <row r="2734">
      <c r="A2734" s="4" t="s">
        <v>14135</v>
      </c>
      <c r="B2734" s="4" t="s">
        <v>14136</v>
      </c>
    </row>
    <row r="2735">
      <c r="A2735" s="4" t="s">
        <v>14137</v>
      </c>
      <c r="B2735" s="4" t="s">
        <v>14138</v>
      </c>
    </row>
    <row r="2736">
      <c r="A2736" s="4" t="s">
        <v>14139</v>
      </c>
      <c r="B2736" s="4" t="s">
        <v>14140</v>
      </c>
    </row>
    <row r="2737">
      <c r="A2737" s="4" t="s">
        <v>14141</v>
      </c>
      <c r="B2737" s="4" t="s">
        <v>14142</v>
      </c>
    </row>
    <row r="2738">
      <c r="A2738" s="4" t="s">
        <v>14143</v>
      </c>
      <c r="B2738" s="4" t="s">
        <v>14144</v>
      </c>
    </row>
    <row r="2739">
      <c r="A2739" s="4" t="s">
        <v>14145</v>
      </c>
      <c r="B2739" s="4" t="s">
        <v>14146</v>
      </c>
    </row>
    <row r="2740">
      <c r="A2740" s="4" t="s">
        <v>14147</v>
      </c>
      <c r="B2740" s="4" t="s">
        <v>14148</v>
      </c>
    </row>
    <row r="2741">
      <c r="A2741" s="4" t="s">
        <v>14149</v>
      </c>
      <c r="B2741" s="4" t="s">
        <v>14150</v>
      </c>
    </row>
    <row r="2742">
      <c r="A2742" s="4" t="s">
        <v>14151</v>
      </c>
      <c r="B2742" s="4" t="s">
        <v>14152</v>
      </c>
    </row>
    <row r="2743">
      <c r="A2743" s="4" t="s">
        <v>14153</v>
      </c>
      <c r="B2743" s="4" t="s">
        <v>14154</v>
      </c>
    </row>
    <row r="2744">
      <c r="A2744" s="4" t="s">
        <v>14155</v>
      </c>
      <c r="B2744" s="4" t="s">
        <v>14156</v>
      </c>
    </row>
    <row r="2745">
      <c r="A2745" s="4" t="s">
        <v>14157</v>
      </c>
      <c r="B2745" s="4" t="s">
        <v>14158</v>
      </c>
    </row>
    <row r="2746">
      <c r="A2746" s="4" t="s">
        <v>14159</v>
      </c>
      <c r="B2746" s="4" t="s">
        <v>14160</v>
      </c>
    </row>
    <row r="2747">
      <c r="A2747" s="4" t="s">
        <v>14161</v>
      </c>
      <c r="B2747" s="4" t="s">
        <v>14162</v>
      </c>
    </row>
    <row r="2748">
      <c r="A2748" s="4" t="s">
        <v>14163</v>
      </c>
      <c r="B2748" s="4" t="s">
        <v>14164</v>
      </c>
    </row>
    <row r="2749">
      <c r="A2749" s="4" t="s">
        <v>14165</v>
      </c>
      <c r="B2749" s="4" t="s">
        <v>14166</v>
      </c>
    </row>
    <row r="2750">
      <c r="A2750" s="4" t="s">
        <v>14167</v>
      </c>
      <c r="B2750" s="4" t="s">
        <v>14168</v>
      </c>
    </row>
    <row r="2751">
      <c r="A2751" s="4" t="s">
        <v>14169</v>
      </c>
      <c r="B2751" s="4" t="s">
        <v>14170</v>
      </c>
    </row>
    <row r="2752">
      <c r="A2752" s="4" t="s">
        <v>14171</v>
      </c>
      <c r="B2752" s="4" t="s">
        <v>14172</v>
      </c>
    </row>
    <row r="2753">
      <c r="A2753" s="4" t="s">
        <v>14173</v>
      </c>
      <c r="B2753" s="4" t="s">
        <v>14174</v>
      </c>
    </row>
    <row r="2754">
      <c r="A2754" s="4" t="s">
        <v>14175</v>
      </c>
      <c r="B2754" s="4" t="s">
        <v>14176</v>
      </c>
    </row>
    <row r="2755">
      <c r="A2755" s="4" t="s">
        <v>14177</v>
      </c>
      <c r="B2755" s="4" t="s">
        <v>14178</v>
      </c>
    </row>
    <row r="2756">
      <c r="A2756" s="4" t="s">
        <v>14179</v>
      </c>
      <c r="B2756" s="4" t="s">
        <v>14180</v>
      </c>
    </row>
    <row r="2757">
      <c r="A2757" s="4" t="s">
        <v>14181</v>
      </c>
      <c r="B2757" s="4" t="s">
        <v>14182</v>
      </c>
    </row>
    <row r="2758">
      <c r="A2758" s="4" t="s">
        <v>14183</v>
      </c>
      <c r="B2758" s="4" t="s">
        <v>14184</v>
      </c>
    </row>
    <row r="2759">
      <c r="A2759" s="4" t="s">
        <v>14185</v>
      </c>
      <c r="B2759" s="4" t="s">
        <v>14186</v>
      </c>
    </row>
    <row r="2760">
      <c r="A2760" s="4" t="s">
        <v>14187</v>
      </c>
      <c r="B2760" s="4" t="s">
        <v>14188</v>
      </c>
    </row>
    <row r="2761">
      <c r="A2761" s="4" t="s">
        <v>14189</v>
      </c>
      <c r="B2761" s="4" t="s">
        <v>14190</v>
      </c>
    </row>
    <row r="2762">
      <c r="A2762" s="4" t="s">
        <v>14191</v>
      </c>
      <c r="B2762" s="4" t="s">
        <v>14192</v>
      </c>
    </row>
    <row r="2763">
      <c r="A2763" s="4" t="s">
        <v>14193</v>
      </c>
      <c r="B2763" s="4" t="s">
        <v>14194</v>
      </c>
    </row>
    <row r="2764">
      <c r="A2764" s="4" t="s">
        <v>14195</v>
      </c>
      <c r="B2764" s="4" t="s">
        <v>14196</v>
      </c>
    </row>
    <row r="2765">
      <c r="A2765" s="4" t="s">
        <v>14197</v>
      </c>
      <c r="B2765" s="4" t="s">
        <v>14198</v>
      </c>
    </row>
    <row r="2766">
      <c r="A2766" s="4" t="s">
        <v>14199</v>
      </c>
      <c r="B2766" s="4" t="s">
        <v>14200</v>
      </c>
    </row>
    <row r="2767">
      <c r="A2767" s="4" t="s">
        <v>14201</v>
      </c>
      <c r="B2767" s="4" t="s">
        <v>14202</v>
      </c>
    </row>
    <row r="2768">
      <c r="A2768" s="4" t="s">
        <v>14203</v>
      </c>
      <c r="B2768" s="4" t="s">
        <v>14204</v>
      </c>
    </row>
    <row r="2769">
      <c r="A2769" s="4" t="s">
        <v>14205</v>
      </c>
      <c r="B2769" s="4" t="s">
        <v>14206</v>
      </c>
    </row>
    <row r="2770">
      <c r="A2770" s="4" t="s">
        <v>14207</v>
      </c>
      <c r="B2770" s="4" t="s">
        <v>14208</v>
      </c>
    </row>
    <row r="2771">
      <c r="A2771" s="4" t="s">
        <v>14209</v>
      </c>
      <c r="B2771" s="4" t="s">
        <v>14210</v>
      </c>
    </row>
    <row r="2772">
      <c r="A2772" s="4" t="s">
        <v>14211</v>
      </c>
      <c r="B2772" s="4" t="s">
        <v>14212</v>
      </c>
    </row>
    <row r="2773">
      <c r="A2773" s="4" t="s">
        <v>14213</v>
      </c>
      <c r="B2773" s="4" t="s">
        <v>14214</v>
      </c>
    </row>
    <row r="2774">
      <c r="A2774" s="4" t="s">
        <v>14215</v>
      </c>
      <c r="B2774" s="4" t="s">
        <v>14216</v>
      </c>
    </row>
    <row r="2775">
      <c r="A2775" s="4" t="s">
        <v>14217</v>
      </c>
      <c r="B2775" s="4" t="s">
        <v>14218</v>
      </c>
    </row>
    <row r="2776">
      <c r="A2776" s="4" t="s">
        <v>14219</v>
      </c>
      <c r="B2776" s="4" t="s">
        <v>14220</v>
      </c>
    </row>
    <row r="2777">
      <c r="A2777" s="4" t="s">
        <v>14221</v>
      </c>
      <c r="B2777" s="4" t="s">
        <v>14222</v>
      </c>
    </row>
    <row r="2778">
      <c r="A2778" s="4" t="s">
        <v>14223</v>
      </c>
      <c r="B2778" s="4" t="s">
        <v>14224</v>
      </c>
    </row>
    <row r="2779">
      <c r="A2779" s="4" t="s">
        <v>14225</v>
      </c>
      <c r="B2779" s="4" t="s">
        <v>14226</v>
      </c>
    </row>
    <row r="2780">
      <c r="A2780" s="4" t="s">
        <v>14227</v>
      </c>
      <c r="B2780" s="4" t="s">
        <v>14228</v>
      </c>
    </row>
    <row r="2781">
      <c r="A2781" s="4" t="s">
        <v>14229</v>
      </c>
      <c r="B2781" s="4" t="s">
        <v>14230</v>
      </c>
    </row>
    <row r="2782">
      <c r="A2782" s="4" t="s">
        <v>14231</v>
      </c>
      <c r="B2782" s="4" t="s">
        <v>14232</v>
      </c>
    </row>
    <row r="2783">
      <c r="A2783" s="4" t="s">
        <v>14233</v>
      </c>
      <c r="B2783" s="4" t="s">
        <v>14234</v>
      </c>
    </row>
    <row r="2784">
      <c r="A2784" s="4" t="s">
        <v>14235</v>
      </c>
      <c r="B2784" s="4" t="s">
        <v>14236</v>
      </c>
    </row>
    <row r="2785">
      <c r="A2785" s="4" t="s">
        <v>14237</v>
      </c>
      <c r="B2785" s="4" t="s">
        <v>14238</v>
      </c>
    </row>
    <row r="2786">
      <c r="A2786" s="4" t="s">
        <v>14239</v>
      </c>
      <c r="B2786" s="4" t="s">
        <v>14240</v>
      </c>
    </row>
    <row r="2787">
      <c r="A2787" s="4" t="s">
        <v>14241</v>
      </c>
      <c r="B2787" s="4" t="s">
        <v>14242</v>
      </c>
    </row>
    <row r="2788">
      <c r="A2788" s="4" t="s">
        <v>14243</v>
      </c>
      <c r="B2788" s="4" t="s">
        <v>14244</v>
      </c>
    </row>
    <row r="2789">
      <c r="A2789" s="4" t="s">
        <v>14245</v>
      </c>
      <c r="B2789" s="4" t="s">
        <v>14246</v>
      </c>
    </row>
    <row r="2790">
      <c r="A2790" s="4" t="s">
        <v>14247</v>
      </c>
      <c r="B2790" s="4" t="s">
        <v>14248</v>
      </c>
    </row>
    <row r="2791">
      <c r="A2791" s="4" t="s">
        <v>14249</v>
      </c>
      <c r="B2791" s="4" t="s">
        <v>14250</v>
      </c>
    </row>
    <row r="2792">
      <c r="A2792" s="4" t="s">
        <v>14251</v>
      </c>
      <c r="B2792" s="4" t="s">
        <v>14252</v>
      </c>
    </row>
    <row r="2793">
      <c r="A2793" s="4" t="s">
        <v>14253</v>
      </c>
      <c r="B2793" s="4" t="s">
        <v>14254</v>
      </c>
    </row>
    <row r="2794">
      <c r="A2794" s="4" t="s">
        <v>14255</v>
      </c>
      <c r="B2794" s="4" t="s">
        <v>14256</v>
      </c>
    </row>
    <row r="2795">
      <c r="A2795" s="4" t="s">
        <v>14257</v>
      </c>
      <c r="B2795" s="4" t="s">
        <v>14258</v>
      </c>
    </row>
    <row r="2796">
      <c r="A2796" s="4" t="s">
        <v>14259</v>
      </c>
      <c r="B2796" s="4" t="s">
        <v>14260</v>
      </c>
    </row>
    <row r="2797">
      <c r="A2797" s="4" t="s">
        <v>14261</v>
      </c>
      <c r="B2797" s="4" t="s">
        <v>14262</v>
      </c>
    </row>
    <row r="2798">
      <c r="A2798" s="4" t="s">
        <v>14263</v>
      </c>
      <c r="B2798" s="4" t="s">
        <v>14264</v>
      </c>
    </row>
    <row r="2799">
      <c r="A2799" s="4" t="s">
        <v>14265</v>
      </c>
      <c r="B2799" s="4" t="s">
        <v>14266</v>
      </c>
    </row>
    <row r="2800">
      <c r="A2800" s="4" t="s">
        <v>14267</v>
      </c>
      <c r="B2800" s="4" t="s">
        <v>14268</v>
      </c>
    </row>
    <row r="2801">
      <c r="A2801" s="4" t="s">
        <v>14269</v>
      </c>
      <c r="B2801" s="4" t="s">
        <v>14270</v>
      </c>
    </row>
    <row r="2802">
      <c r="A2802" s="4" t="s">
        <v>14271</v>
      </c>
      <c r="B2802" s="4" t="s">
        <v>14272</v>
      </c>
    </row>
    <row r="2803">
      <c r="A2803" s="4" t="s">
        <v>14273</v>
      </c>
      <c r="B2803" s="4" t="s">
        <v>14274</v>
      </c>
    </row>
    <row r="2804">
      <c r="A2804" s="4" t="s">
        <v>14275</v>
      </c>
      <c r="B2804" s="4" t="s">
        <v>14276</v>
      </c>
    </row>
    <row r="2805">
      <c r="A2805" s="4" t="s">
        <v>14277</v>
      </c>
      <c r="B2805" s="4" t="s">
        <v>14278</v>
      </c>
    </row>
    <row r="2806">
      <c r="A2806" s="4" t="s">
        <v>14279</v>
      </c>
      <c r="B2806" s="4" t="s">
        <v>14280</v>
      </c>
    </row>
    <row r="2807">
      <c r="A2807" s="4" t="s">
        <v>14281</v>
      </c>
      <c r="B2807" s="4" t="s">
        <v>14282</v>
      </c>
    </row>
    <row r="2808">
      <c r="A2808" s="4" t="s">
        <v>14283</v>
      </c>
      <c r="B2808" s="4" t="s">
        <v>14284</v>
      </c>
    </row>
    <row r="2809">
      <c r="A2809" s="4" t="s">
        <v>14285</v>
      </c>
      <c r="B2809" s="4" t="s">
        <v>14286</v>
      </c>
    </row>
    <row r="2810">
      <c r="A2810" s="4" t="s">
        <v>14287</v>
      </c>
      <c r="B2810" s="4" t="s">
        <v>14288</v>
      </c>
    </row>
    <row r="2811">
      <c r="A2811" s="4" t="s">
        <v>14289</v>
      </c>
      <c r="B2811" s="4" t="s">
        <v>14290</v>
      </c>
    </row>
    <row r="2812">
      <c r="A2812" s="4" t="s">
        <v>14291</v>
      </c>
      <c r="B2812" s="4" t="s">
        <v>14292</v>
      </c>
    </row>
    <row r="2813">
      <c r="A2813" s="4" t="s">
        <v>14293</v>
      </c>
      <c r="B2813" s="4" t="s">
        <v>14294</v>
      </c>
    </row>
    <row r="2814">
      <c r="A2814" s="4" t="s">
        <v>14295</v>
      </c>
      <c r="B2814" s="4" t="s">
        <v>14296</v>
      </c>
    </row>
    <row r="2815">
      <c r="A2815" s="4" t="s">
        <v>14297</v>
      </c>
      <c r="B2815" s="4" t="s">
        <v>14298</v>
      </c>
    </row>
    <row r="2816">
      <c r="A2816" s="4" t="s">
        <v>14299</v>
      </c>
      <c r="B2816" s="4" t="s">
        <v>14300</v>
      </c>
    </row>
    <row r="2817">
      <c r="A2817" s="4" t="s">
        <v>14301</v>
      </c>
      <c r="B2817" s="4" t="s">
        <v>14302</v>
      </c>
    </row>
    <row r="2818">
      <c r="A2818" s="4" t="s">
        <v>14303</v>
      </c>
      <c r="B2818" s="4" t="s">
        <v>14304</v>
      </c>
    </row>
    <row r="2819">
      <c r="A2819" s="4" t="s">
        <v>14305</v>
      </c>
      <c r="B2819" s="4" t="s">
        <v>14306</v>
      </c>
    </row>
    <row r="2820">
      <c r="A2820" s="4" t="s">
        <v>14307</v>
      </c>
      <c r="B2820" s="4" t="s">
        <v>14308</v>
      </c>
    </row>
    <row r="2821">
      <c r="A2821" s="4" t="s">
        <v>14309</v>
      </c>
      <c r="B2821" s="4" t="s">
        <v>14310</v>
      </c>
    </row>
    <row r="2822">
      <c r="A2822" s="4" t="s">
        <v>14311</v>
      </c>
      <c r="B2822" s="4" t="s">
        <v>14312</v>
      </c>
    </row>
    <row r="2823">
      <c r="A2823" s="4" t="s">
        <v>14313</v>
      </c>
      <c r="B2823" s="4" t="s">
        <v>14314</v>
      </c>
    </row>
    <row r="2824">
      <c r="A2824" s="4" t="s">
        <v>14315</v>
      </c>
      <c r="B2824" s="4" t="s">
        <v>14316</v>
      </c>
    </row>
    <row r="2825">
      <c r="A2825" s="4" t="s">
        <v>14317</v>
      </c>
      <c r="B2825" s="4" t="s">
        <v>14318</v>
      </c>
    </row>
    <row r="2826">
      <c r="A2826" s="4" t="s">
        <v>14319</v>
      </c>
      <c r="B2826" s="4" t="s">
        <v>14320</v>
      </c>
    </row>
    <row r="2827">
      <c r="A2827" s="4" t="s">
        <v>14321</v>
      </c>
      <c r="B2827" s="4" t="s">
        <v>14322</v>
      </c>
    </row>
    <row r="2828">
      <c r="A2828" s="4" t="s">
        <v>14323</v>
      </c>
      <c r="B2828" s="4" t="s">
        <v>14324</v>
      </c>
    </row>
    <row r="2829">
      <c r="A2829" s="4" t="s">
        <v>14325</v>
      </c>
      <c r="B2829" s="4" t="s">
        <v>14326</v>
      </c>
    </row>
    <row r="2830">
      <c r="A2830" s="4" t="s">
        <v>14327</v>
      </c>
      <c r="B2830" s="4" t="s">
        <v>14328</v>
      </c>
    </row>
    <row r="2831">
      <c r="A2831" s="4" t="s">
        <v>14329</v>
      </c>
      <c r="B2831" s="4" t="s">
        <v>14330</v>
      </c>
    </row>
    <row r="2832">
      <c r="A2832" s="4" t="s">
        <v>14331</v>
      </c>
      <c r="B2832" s="4" t="s">
        <v>14332</v>
      </c>
    </row>
    <row r="2833">
      <c r="A2833" s="4" t="s">
        <v>14333</v>
      </c>
      <c r="B2833" s="4" t="s">
        <v>14334</v>
      </c>
    </row>
    <row r="2834">
      <c r="A2834" s="4" t="s">
        <v>14335</v>
      </c>
      <c r="B2834" s="4" t="s">
        <v>14336</v>
      </c>
    </row>
    <row r="2835">
      <c r="A2835" s="4" t="s">
        <v>14337</v>
      </c>
      <c r="B2835" s="4" t="s">
        <v>14338</v>
      </c>
    </row>
    <row r="2836">
      <c r="A2836" s="4" t="s">
        <v>14339</v>
      </c>
      <c r="B2836" s="4" t="s">
        <v>14340</v>
      </c>
    </row>
    <row r="2837">
      <c r="A2837" s="4" t="s">
        <v>14341</v>
      </c>
      <c r="B2837" s="4" t="s">
        <v>14342</v>
      </c>
    </row>
    <row r="2838">
      <c r="A2838" s="4" t="s">
        <v>14343</v>
      </c>
      <c r="B2838" s="4" t="s">
        <v>14344</v>
      </c>
    </row>
    <row r="2839">
      <c r="A2839" s="4" t="s">
        <v>14345</v>
      </c>
      <c r="B2839" s="4" t="s">
        <v>14346</v>
      </c>
    </row>
    <row r="2840">
      <c r="A2840" s="4" t="s">
        <v>14347</v>
      </c>
      <c r="B2840" s="4" t="s">
        <v>14348</v>
      </c>
    </row>
    <row r="2841">
      <c r="A2841" s="4" t="s">
        <v>14349</v>
      </c>
      <c r="B2841" s="4" t="s">
        <v>14350</v>
      </c>
    </row>
    <row r="2842">
      <c r="A2842" s="4" t="s">
        <v>14351</v>
      </c>
      <c r="B2842" s="4" t="s">
        <v>14352</v>
      </c>
    </row>
    <row r="2843">
      <c r="A2843" s="4" t="s">
        <v>14353</v>
      </c>
      <c r="B2843" s="4" t="s">
        <v>14354</v>
      </c>
    </row>
    <row r="2844">
      <c r="A2844" s="4" t="s">
        <v>14355</v>
      </c>
      <c r="B2844" s="4" t="s">
        <v>14356</v>
      </c>
    </row>
    <row r="2845">
      <c r="A2845" s="4" t="s">
        <v>14357</v>
      </c>
      <c r="B2845" s="4" t="s">
        <v>14358</v>
      </c>
    </row>
    <row r="2846">
      <c r="A2846" s="4" t="s">
        <v>14359</v>
      </c>
      <c r="B2846" s="4" t="s">
        <v>14360</v>
      </c>
    </row>
    <row r="2847">
      <c r="A2847" s="4" t="s">
        <v>14361</v>
      </c>
      <c r="B2847" s="4" t="s">
        <v>14362</v>
      </c>
    </row>
    <row r="2848">
      <c r="A2848" s="4" t="s">
        <v>14363</v>
      </c>
      <c r="B2848" s="4" t="s">
        <v>14364</v>
      </c>
    </row>
    <row r="2849">
      <c r="A2849" s="4" t="s">
        <v>14365</v>
      </c>
      <c r="B2849" s="4" t="s">
        <v>14366</v>
      </c>
    </row>
    <row r="2850">
      <c r="A2850" s="4" t="s">
        <v>14367</v>
      </c>
      <c r="B2850" s="4" t="s">
        <v>14368</v>
      </c>
    </row>
    <row r="2851">
      <c r="A2851" s="4" t="s">
        <v>14369</v>
      </c>
      <c r="B2851" s="4" t="s">
        <v>14370</v>
      </c>
    </row>
    <row r="2852">
      <c r="A2852" s="4" t="s">
        <v>14371</v>
      </c>
      <c r="B2852" s="4" t="s">
        <v>14372</v>
      </c>
    </row>
    <row r="2853">
      <c r="A2853" s="4" t="s">
        <v>14373</v>
      </c>
      <c r="B2853" s="4" t="s">
        <v>14374</v>
      </c>
    </row>
    <row r="2854">
      <c r="A2854" s="4" t="s">
        <v>14375</v>
      </c>
      <c r="B2854" s="4" t="s">
        <v>14376</v>
      </c>
    </row>
    <row r="2855">
      <c r="A2855" s="4" t="s">
        <v>14377</v>
      </c>
      <c r="B2855" s="4" t="s">
        <v>14378</v>
      </c>
    </row>
    <row r="2856">
      <c r="A2856" s="4" t="s">
        <v>14379</v>
      </c>
      <c r="B2856" s="4" t="s">
        <v>14380</v>
      </c>
    </row>
    <row r="2857">
      <c r="A2857" s="4" t="s">
        <v>14381</v>
      </c>
      <c r="B2857" s="4" t="s">
        <v>14382</v>
      </c>
    </row>
    <row r="2858">
      <c r="A2858" s="4" t="s">
        <v>14383</v>
      </c>
      <c r="B2858" s="4" t="s">
        <v>14384</v>
      </c>
    </row>
    <row r="2859">
      <c r="A2859" s="4" t="s">
        <v>14385</v>
      </c>
      <c r="B2859" s="4" t="s">
        <v>14386</v>
      </c>
    </row>
    <row r="2860">
      <c r="A2860" s="4" t="s">
        <v>14387</v>
      </c>
      <c r="B2860" s="4" t="s">
        <v>14384</v>
      </c>
    </row>
    <row r="2861">
      <c r="A2861" s="4" t="s">
        <v>14388</v>
      </c>
      <c r="B2861" s="4" t="s">
        <v>14389</v>
      </c>
    </row>
    <row r="2862">
      <c r="A2862" s="4" t="s">
        <v>14390</v>
      </c>
      <c r="B2862" s="4" t="s">
        <v>14391</v>
      </c>
    </row>
    <row r="2863">
      <c r="A2863" s="4" t="s">
        <v>14392</v>
      </c>
      <c r="B2863" s="4" t="s">
        <v>14393</v>
      </c>
    </row>
    <row r="2864">
      <c r="A2864" s="4" t="s">
        <v>14394</v>
      </c>
      <c r="B2864" s="4" t="s">
        <v>14395</v>
      </c>
    </row>
    <row r="2865">
      <c r="A2865" s="4" t="s">
        <v>14396</v>
      </c>
      <c r="B2865" s="4" t="s">
        <v>14397</v>
      </c>
    </row>
    <row r="2866">
      <c r="A2866" s="4" t="s">
        <v>14398</v>
      </c>
      <c r="B2866" s="4" t="s">
        <v>14399</v>
      </c>
    </row>
    <row r="2867">
      <c r="A2867" s="4" t="s">
        <v>14400</v>
      </c>
      <c r="B2867" s="4" t="s">
        <v>14401</v>
      </c>
    </row>
    <row r="2868">
      <c r="A2868" s="4" t="s">
        <v>14402</v>
      </c>
      <c r="B2868" s="4" t="s">
        <v>14403</v>
      </c>
    </row>
    <row r="2869">
      <c r="A2869" s="4" t="s">
        <v>14404</v>
      </c>
      <c r="B2869" s="4" t="s">
        <v>14405</v>
      </c>
    </row>
    <row r="2870">
      <c r="A2870" s="4" t="s">
        <v>14406</v>
      </c>
      <c r="B2870" s="4" t="s">
        <v>14407</v>
      </c>
    </row>
    <row r="2871">
      <c r="A2871" s="4" t="s">
        <v>14408</v>
      </c>
      <c r="B2871" s="4" t="s">
        <v>14409</v>
      </c>
    </row>
    <row r="2872">
      <c r="A2872" s="4" t="s">
        <v>14410</v>
      </c>
      <c r="B2872" s="4" t="s">
        <v>14411</v>
      </c>
    </row>
    <row r="2873">
      <c r="A2873" s="4" t="s">
        <v>14412</v>
      </c>
      <c r="B2873" s="4" t="s">
        <v>14413</v>
      </c>
    </row>
    <row r="2874">
      <c r="A2874" s="4" t="s">
        <v>14414</v>
      </c>
      <c r="B2874" s="4" t="s">
        <v>14415</v>
      </c>
    </row>
    <row r="2875">
      <c r="A2875" s="4" t="s">
        <v>14416</v>
      </c>
      <c r="B2875" s="4" t="s">
        <v>14417</v>
      </c>
    </row>
    <row r="2876">
      <c r="A2876" s="4" t="s">
        <v>14418</v>
      </c>
      <c r="B2876" s="4" t="s">
        <v>14419</v>
      </c>
    </row>
    <row r="2877">
      <c r="A2877" s="4" t="s">
        <v>14420</v>
      </c>
      <c r="B2877" s="4" t="s">
        <v>14421</v>
      </c>
    </row>
    <row r="2878">
      <c r="A2878" s="4" t="s">
        <v>14422</v>
      </c>
      <c r="B2878" s="4" t="s">
        <v>14423</v>
      </c>
    </row>
    <row r="2879">
      <c r="A2879" s="4" t="s">
        <v>14424</v>
      </c>
      <c r="B2879" s="4" t="s">
        <v>14425</v>
      </c>
    </row>
    <row r="2880">
      <c r="A2880" s="4" t="s">
        <v>14426</v>
      </c>
      <c r="B2880" s="4" t="s">
        <v>14427</v>
      </c>
    </row>
    <row r="2881">
      <c r="A2881" s="4" t="s">
        <v>14428</v>
      </c>
      <c r="B2881" s="4" t="s">
        <v>14429</v>
      </c>
    </row>
    <row r="2882">
      <c r="A2882" s="4" t="s">
        <v>14430</v>
      </c>
      <c r="B2882" s="4" t="s">
        <v>14431</v>
      </c>
    </row>
    <row r="2883">
      <c r="A2883" s="4" t="s">
        <v>14432</v>
      </c>
      <c r="B2883" s="4" t="s">
        <v>14433</v>
      </c>
    </row>
    <row r="2884">
      <c r="A2884" s="4" t="s">
        <v>14434</v>
      </c>
      <c r="B2884" s="4" t="s">
        <v>14435</v>
      </c>
    </row>
    <row r="2885">
      <c r="A2885" s="4" t="s">
        <v>14436</v>
      </c>
      <c r="B2885" s="4" t="s">
        <v>14437</v>
      </c>
    </row>
    <row r="2886">
      <c r="A2886" s="4" t="s">
        <v>14438</v>
      </c>
      <c r="B2886" s="4" t="s">
        <v>14439</v>
      </c>
    </row>
    <row r="2887">
      <c r="A2887" s="4" t="s">
        <v>14440</v>
      </c>
      <c r="B2887" s="4" t="s">
        <v>14441</v>
      </c>
    </row>
    <row r="2888">
      <c r="A2888" s="4" t="s">
        <v>14442</v>
      </c>
      <c r="B2888" s="4" t="s">
        <v>14443</v>
      </c>
    </row>
    <row r="2889">
      <c r="A2889" s="4" t="s">
        <v>14444</v>
      </c>
      <c r="B2889" s="4" t="s">
        <v>14445</v>
      </c>
    </row>
    <row r="2890">
      <c r="A2890" s="4" t="s">
        <v>14446</v>
      </c>
      <c r="B2890" s="4" t="s">
        <v>14447</v>
      </c>
    </row>
    <row r="2891">
      <c r="A2891" s="4" t="s">
        <v>14448</v>
      </c>
      <c r="B2891" s="4" t="s">
        <v>14449</v>
      </c>
    </row>
    <row r="2892">
      <c r="A2892" s="4" t="s">
        <v>14450</v>
      </c>
      <c r="B2892" s="4" t="s">
        <v>14451</v>
      </c>
    </row>
    <row r="2893">
      <c r="A2893" s="4" t="s">
        <v>14452</v>
      </c>
      <c r="B2893" s="4" t="s">
        <v>14453</v>
      </c>
    </row>
    <row r="2894">
      <c r="A2894" s="4" t="s">
        <v>14454</v>
      </c>
      <c r="B2894" s="4" t="s">
        <v>14455</v>
      </c>
    </row>
    <row r="2895">
      <c r="A2895" s="4" t="s">
        <v>14456</v>
      </c>
      <c r="B2895" s="4" t="s">
        <v>14457</v>
      </c>
    </row>
    <row r="2896">
      <c r="A2896" s="4" t="s">
        <v>14458</v>
      </c>
      <c r="B2896" s="4" t="s">
        <v>14459</v>
      </c>
    </row>
    <row r="2897">
      <c r="A2897" s="4" t="s">
        <v>14460</v>
      </c>
      <c r="B2897" s="4" t="s">
        <v>14461</v>
      </c>
    </row>
    <row r="2898">
      <c r="A2898" s="4" t="s">
        <v>14462</v>
      </c>
      <c r="B2898" s="4" t="s">
        <v>14463</v>
      </c>
    </row>
    <row r="2899">
      <c r="A2899" s="4" t="s">
        <v>14464</v>
      </c>
      <c r="B2899" s="4" t="s">
        <v>14465</v>
      </c>
    </row>
    <row r="2900">
      <c r="A2900" s="4" t="s">
        <v>14466</v>
      </c>
      <c r="B2900" s="4" t="s">
        <v>14467</v>
      </c>
    </row>
    <row r="2901">
      <c r="A2901" s="4" t="s">
        <v>14468</v>
      </c>
      <c r="B2901" s="4" t="s">
        <v>14469</v>
      </c>
    </row>
    <row r="2902">
      <c r="A2902" s="4" t="s">
        <v>14470</v>
      </c>
      <c r="B2902" s="4" t="s">
        <v>14471</v>
      </c>
    </row>
    <row r="2903">
      <c r="A2903" s="4" t="s">
        <v>14472</v>
      </c>
      <c r="B2903" s="4" t="s">
        <v>14473</v>
      </c>
    </row>
    <row r="2904">
      <c r="A2904" s="4" t="s">
        <v>14474</v>
      </c>
      <c r="B2904" s="4" t="s">
        <v>14475</v>
      </c>
    </row>
    <row r="2905">
      <c r="A2905" s="4" t="s">
        <v>14476</v>
      </c>
      <c r="B2905" s="4" t="s">
        <v>14477</v>
      </c>
    </row>
    <row r="2906">
      <c r="A2906" s="4" t="s">
        <v>14478</v>
      </c>
      <c r="B2906" s="4" t="s">
        <v>14479</v>
      </c>
    </row>
    <row r="2907">
      <c r="A2907" s="4" t="s">
        <v>14480</v>
      </c>
      <c r="B2907" s="4" t="s">
        <v>14481</v>
      </c>
    </row>
    <row r="2908">
      <c r="A2908" s="4" t="s">
        <v>14482</v>
      </c>
      <c r="B2908" s="4" t="s">
        <v>14483</v>
      </c>
    </row>
    <row r="2909">
      <c r="A2909" s="4" t="s">
        <v>14484</v>
      </c>
      <c r="B2909" s="4" t="s">
        <v>14485</v>
      </c>
    </row>
    <row r="2910">
      <c r="A2910" s="4" t="s">
        <v>14486</v>
      </c>
      <c r="B2910" s="4" t="s">
        <v>14487</v>
      </c>
    </row>
    <row r="2911">
      <c r="A2911" s="4" t="s">
        <v>14488</v>
      </c>
      <c r="B2911" s="4" t="s">
        <v>14489</v>
      </c>
    </row>
    <row r="2912">
      <c r="A2912" s="4" t="s">
        <v>14490</v>
      </c>
      <c r="B2912" s="4" t="s">
        <v>14491</v>
      </c>
    </row>
    <row r="2913">
      <c r="A2913" s="4" t="s">
        <v>14492</v>
      </c>
      <c r="B2913" s="4" t="s">
        <v>14493</v>
      </c>
    </row>
    <row r="2914">
      <c r="A2914" s="4" t="s">
        <v>14494</v>
      </c>
      <c r="B2914" s="4" t="s">
        <v>14495</v>
      </c>
    </row>
    <row r="2915">
      <c r="A2915" s="4" t="s">
        <v>14496</v>
      </c>
      <c r="B2915" s="4" t="s">
        <v>14497</v>
      </c>
    </row>
    <row r="2916">
      <c r="A2916" s="4" t="s">
        <v>14498</v>
      </c>
      <c r="B2916" s="4" t="s">
        <v>14497</v>
      </c>
    </row>
    <row r="2917">
      <c r="A2917" s="4" t="s">
        <v>14499</v>
      </c>
      <c r="B2917" s="4" t="s">
        <v>14500</v>
      </c>
    </row>
    <row r="2918">
      <c r="A2918" s="4" t="s">
        <v>14501</v>
      </c>
      <c r="B2918" s="4" t="s">
        <v>14502</v>
      </c>
    </row>
    <row r="2919">
      <c r="A2919" s="4" t="s">
        <v>14503</v>
      </c>
      <c r="B2919" s="4" t="s">
        <v>14504</v>
      </c>
    </row>
    <row r="2920">
      <c r="A2920" s="4" t="s">
        <v>14505</v>
      </c>
      <c r="B2920" s="4" t="s">
        <v>14506</v>
      </c>
    </row>
    <row r="2921">
      <c r="A2921" s="4" t="s">
        <v>14507</v>
      </c>
      <c r="B2921" s="4" t="s">
        <v>14508</v>
      </c>
    </row>
    <row r="2922">
      <c r="A2922" s="4" t="s">
        <v>14509</v>
      </c>
      <c r="B2922" s="4" t="s">
        <v>14510</v>
      </c>
    </row>
    <row r="2923">
      <c r="A2923" s="4" t="s">
        <v>14511</v>
      </c>
      <c r="B2923" s="4" t="s">
        <v>14512</v>
      </c>
    </row>
    <row r="2924">
      <c r="A2924" s="4" t="s">
        <v>14513</v>
      </c>
      <c r="B2924" s="4" t="s">
        <v>14514</v>
      </c>
    </row>
    <row r="2925">
      <c r="A2925" s="4" t="s">
        <v>14515</v>
      </c>
      <c r="B2925" s="4" t="s">
        <v>14516</v>
      </c>
    </row>
    <row r="2926">
      <c r="A2926" s="4" t="s">
        <v>14517</v>
      </c>
      <c r="B2926" s="4" t="s">
        <v>14518</v>
      </c>
    </row>
    <row r="2927">
      <c r="A2927" s="4" t="s">
        <v>14519</v>
      </c>
      <c r="B2927" s="4" t="s">
        <v>14520</v>
      </c>
    </row>
    <row r="2928">
      <c r="A2928" s="4" t="s">
        <v>14521</v>
      </c>
      <c r="B2928" s="4" t="s">
        <v>14522</v>
      </c>
    </row>
    <row r="2929">
      <c r="A2929" s="4" t="s">
        <v>14523</v>
      </c>
      <c r="B2929" s="4" t="s">
        <v>14524</v>
      </c>
    </row>
    <row r="2930">
      <c r="A2930" s="4" t="s">
        <v>14525</v>
      </c>
      <c r="B2930" s="4" t="s">
        <v>14526</v>
      </c>
    </row>
    <row r="2931">
      <c r="A2931" s="4" t="s">
        <v>14527</v>
      </c>
      <c r="B2931" s="4" t="s">
        <v>14528</v>
      </c>
    </row>
    <row r="2932">
      <c r="A2932" s="4" t="s">
        <v>14529</v>
      </c>
      <c r="B2932" s="4" t="s">
        <v>14530</v>
      </c>
    </row>
    <row r="2933">
      <c r="A2933" s="4" t="s">
        <v>14531</v>
      </c>
      <c r="B2933" s="4" t="s">
        <v>14532</v>
      </c>
    </row>
    <row r="2934">
      <c r="A2934" s="4" t="s">
        <v>14533</v>
      </c>
      <c r="B2934" s="4" t="s">
        <v>14534</v>
      </c>
    </row>
    <row r="2935">
      <c r="A2935" s="4" t="s">
        <v>14535</v>
      </c>
      <c r="B2935" s="4" t="s">
        <v>14536</v>
      </c>
    </row>
    <row r="2936">
      <c r="A2936" s="4" t="s">
        <v>14537</v>
      </c>
      <c r="B2936" s="4" t="s">
        <v>14538</v>
      </c>
    </row>
    <row r="2937">
      <c r="A2937" s="4" t="s">
        <v>14539</v>
      </c>
      <c r="B2937" s="4" t="s">
        <v>14540</v>
      </c>
    </row>
    <row r="2938">
      <c r="A2938" s="4" t="s">
        <v>14541</v>
      </c>
      <c r="B2938" s="4" t="s">
        <v>14542</v>
      </c>
    </row>
    <row r="2939">
      <c r="A2939" s="4" t="s">
        <v>14543</v>
      </c>
      <c r="B2939" s="4" t="s">
        <v>14544</v>
      </c>
    </row>
    <row r="2940">
      <c r="A2940" s="4" t="s">
        <v>14545</v>
      </c>
      <c r="B2940" s="4" t="s">
        <v>14546</v>
      </c>
    </row>
    <row r="2941">
      <c r="A2941" s="4" t="s">
        <v>14547</v>
      </c>
      <c r="B2941" s="4" t="s">
        <v>14548</v>
      </c>
    </row>
    <row r="2942">
      <c r="A2942" s="4" t="s">
        <v>14549</v>
      </c>
      <c r="B2942" s="4" t="s">
        <v>14550</v>
      </c>
    </row>
    <row r="2943">
      <c r="A2943" s="4" t="s">
        <v>14551</v>
      </c>
      <c r="B2943" s="4" t="s">
        <v>14552</v>
      </c>
    </row>
    <row r="2944">
      <c r="A2944" s="4" t="s">
        <v>14553</v>
      </c>
      <c r="B2944" s="4" t="s">
        <v>14554</v>
      </c>
    </row>
    <row r="2945">
      <c r="A2945" s="4" t="s">
        <v>14555</v>
      </c>
      <c r="B2945" s="4" t="s">
        <v>14556</v>
      </c>
    </row>
    <row r="2946">
      <c r="A2946" s="4" t="s">
        <v>14557</v>
      </c>
      <c r="B2946" s="4" t="s">
        <v>14558</v>
      </c>
    </row>
    <row r="2947">
      <c r="A2947" s="4" t="s">
        <v>14559</v>
      </c>
      <c r="B2947" s="4" t="s">
        <v>14560</v>
      </c>
    </row>
    <row r="2948">
      <c r="A2948" s="4" t="s">
        <v>14561</v>
      </c>
      <c r="B2948" s="4" t="s">
        <v>14562</v>
      </c>
    </row>
    <row r="2949">
      <c r="A2949" s="4" t="s">
        <v>14563</v>
      </c>
      <c r="B2949" s="4" t="s">
        <v>14564</v>
      </c>
    </row>
    <row r="2950">
      <c r="A2950" s="4" t="s">
        <v>14565</v>
      </c>
      <c r="B2950" s="4" t="s">
        <v>14566</v>
      </c>
    </row>
    <row r="2951">
      <c r="A2951" s="4" t="s">
        <v>14567</v>
      </c>
      <c r="B2951" s="4" t="s">
        <v>14568</v>
      </c>
    </row>
    <row r="2952">
      <c r="A2952" s="4" t="s">
        <v>14569</v>
      </c>
      <c r="B2952" s="4" t="s">
        <v>14570</v>
      </c>
    </row>
    <row r="2953">
      <c r="A2953" s="4" t="s">
        <v>14571</v>
      </c>
      <c r="B2953" s="4" t="s">
        <v>14572</v>
      </c>
    </row>
    <row r="2954">
      <c r="A2954" s="4" t="s">
        <v>14573</v>
      </c>
      <c r="B2954" s="4" t="s">
        <v>14574</v>
      </c>
    </row>
    <row r="2955">
      <c r="A2955" s="4" t="s">
        <v>14575</v>
      </c>
      <c r="B2955" s="4" t="s">
        <v>14576</v>
      </c>
    </row>
    <row r="2956">
      <c r="A2956" s="4" t="s">
        <v>14577</v>
      </c>
      <c r="B2956" s="4" t="s">
        <v>14578</v>
      </c>
    </row>
    <row r="2957">
      <c r="A2957" s="4" t="s">
        <v>14579</v>
      </c>
      <c r="B2957" s="4" t="s">
        <v>14580</v>
      </c>
    </row>
    <row r="2958">
      <c r="A2958" s="4" t="s">
        <v>14581</v>
      </c>
      <c r="B2958" s="4" t="s">
        <v>14582</v>
      </c>
    </row>
    <row r="2959">
      <c r="A2959" s="4" t="s">
        <v>14583</v>
      </c>
      <c r="B2959" s="4" t="s">
        <v>14584</v>
      </c>
    </row>
    <row r="2960">
      <c r="A2960" s="4" t="s">
        <v>14585</v>
      </c>
      <c r="B2960" s="4" t="s">
        <v>14586</v>
      </c>
    </row>
    <row r="2961">
      <c r="A2961" s="4" t="s">
        <v>14587</v>
      </c>
      <c r="B2961" s="4" t="s">
        <v>14588</v>
      </c>
    </row>
    <row r="2962">
      <c r="A2962" s="4" t="s">
        <v>14589</v>
      </c>
      <c r="B2962" s="4" t="s">
        <v>14590</v>
      </c>
    </row>
    <row r="2963">
      <c r="A2963" s="4" t="s">
        <v>14591</v>
      </c>
      <c r="B2963" s="4" t="s">
        <v>14592</v>
      </c>
    </row>
    <row r="2964">
      <c r="A2964" s="4" t="s">
        <v>14593</v>
      </c>
      <c r="B2964" s="4" t="s">
        <v>14594</v>
      </c>
    </row>
    <row r="2965">
      <c r="A2965" s="4" t="s">
        <v>14595</v>
      </c>
      <c r="B2965" s="4" t="s">
        <v>14596</v>
      </c>
    </row>
    <row r="2966">
      <c r="A2966" s="4" t="s">
        <v>14597</v>
      </c>
      <c r="B2966" s="4" t="s">
        <v>14598</v>
      </c>
    </row>
    <row r="2967">
      <c r="A2967" s="4" t="s">
        <v>14599</v>
      </c>
      <c r="B2967" s="4" t="s">
        <v>14600</v>
      </c>
    </row>
    <row r="2968">
      <c r="A2968" s="4" t="s">
        <v>14601</v>
      </c>
      <c r="B2968" s="4" t="s">
        <v>14602</v>
      </c>
    </row>
    <row r="2969">
      <c r="A2969" s="4" t="s">
        <v>14603</v>
      </c>
      <c r="B2969" s="4" t="s">
        <v>14604</v>
      </c>
    </row>
    <row r="2970">
      <c r="A2970" s="4" t="s">
        <v>14605</v>
      </c>
      <c r="B2970" s="4" t="s">
        <v>14606</v>
      </c>
    </row>
    <row r="2971">
      <c r="A2971" s="4" t="s">
        <v>14607</v>
      </c>
      <c r="B2971" s="4" t="s">
        <v>14608</v>
      </c>
    </row>
    <row r="2972">
      <c r="A2972" s="4" t="s">
        <v>14609</v>
      </c>
      <c r="B2972" s="4" t="s">
        <v>14610</v>
      </c>
    </row>
    <row r="2973">
      <c r="A2973" s="4" t="s">
        <v>14611</v>
      </c>
      <c r="B2973" s="4" t="s">
        <v>14612</v>
      </c>
    </row>
    <row r="2974">
      <c r="A2974" s="4" t="s">
        <v>14613</v>
      </c>
      <c r="B2974" s="4" t="s">
        <v>14614</v>
      </c>
    </row>
    <row r="2975">
      <c r="A2975" s="4" t="s">
        <v>14615</v>
      </c>
      <c r="B2975" s="4" t="s">
        <v>14616</v>
      </c>
    </row>
    <row r="2976">
      <c r="A2976" s="4" t="s">
        <v>14617</v>
      </c>
      <c r="B2976" s="4" t="s">
        <v>14618</v>
      </c>
    </row>
    <row r="2977">
      <c r="A2977" s="4" t="s">
        <v>14619</v>
      </c>
      <c r="B2977" s="4" t="s">
        <v>14620</v>
      </c>
    </row>
    <row r="2978">
      <c r="A2978" s="4" t="s">
        <v>14621</v>
      </c>
      <c r="B2978" s="4" t="s">
        <v>14622</v>
      </c>
    </row>
    <row r="2979">
      <c r="A2979" s="4" t="s">
        <v>14623</v>
      </c>
      <c r="B2979" s="4" t="s">
        <v>14624</v>
      </c>
    </row>
    <row r="2980">
      <c r="A2980" s="4" t="s">
        <v>14625</v>
      </c>
      <c r="B2980" s="4" t="s">
        <v>14626</v>
      </c>
    </row>
    <row r="2981">
      <c r="A2981" s="4" t="s">
        <v>14627</v>
      </c>
      <c r="B2981" s="4" t="s">
        <v>14628</v>
      </c>
    </row>
    <row r="2982">
      <c r="A2982" s="4" t="s">
        <v>14629</v>
      </c>
      <c r="B2982" s="4" t="s">
        <v>14630</v>
      </c>
    </row>
    <row r="2983">
      <c r="A2983" s="4" t="s">
        <v>14631</v>
      </c>
      <c r="B2983" s="4" t="s">
        <v>14632</v>
      </c>
    </row>
    <row r="2984">
      <c r="A2984" s="4" t="s">
        <v>14633</v>
      </c>
      <c r="B2984" s="4" t="s">
        <v>14634</v>
      </c>
    </row>
    <row r="2985">
      <c r="A2985" s="4" t="s">
        <v>14635</v>
      </c>
      <c r="B2985" s="4" t="s">
        <v>14636</v>
      </c>
    </row>
    <row r="2986">
      <c r="A2986" s="4" t="s">
        <v>14637</v>
      </c>
      <c r="B2986" s="4" t="s">
        <v>14638</v>
      </c>
    </row>
    <row r="2987">
      <c r="A2987" s="4" t="s">
        <v>14639</v>
      </c>
      <c r="B2987" s="4" t="s">
        <v>14640</v>
      </c>
    </row>
    <row r="2988">
      <c r="A2988" s="4" t="s">
        <v>14641</v>
      </c>
      <c r="B2988" s="4" t="s">
        <v>14642</v>
      </c>
    </row>
    <row r="2989">
      <c r="A2989" s="4" t="s">
        <v>14643</v>
      </c>
      <c r="B2989" s="4" t="s">
        <v>14644</v>
      </c>
    </row>
    <row r="2990">
      <c r="A2990" s="4" t="s">
        <v>14645</v>
      </c>
      <c r="B2990" s="4" t="s">
        <v>14646</v>
      </c>
    </row>
    <row r="2991">
      <c r="A2991" s="4" t="s">
        <v>14647</v>
      </c>
      <c r="B2991" s="4" t="s">
        <v>14648</v>
      </c>
    </row>
    <row r="2992">
      <c r="A2992" s="4" t="s">
        <v>14649</v>
      </c>
      <c r="B2992" s="4" t="s">
        <v>14650</v>
      </c>
    </row>
    <row r="2993">
      <c r="A2993" s="4" t="s">
        <v>14651</v>
      </c>
      <c r="B2993" s="4" t="s">
        <v>14652</v>
      </c>
    </row>
    <row r="2994">
      <c r="A2994" s="4" t="s">
        <v>14653</v>
      </c>
      <c r="B2994" s="4" t="s">
        <v>14654</v>
      </c>
    </row>
    <row r="2995">
      <c r="A2995" s="4" t="s">
        <v>14655</v>
      </c>
      <c r="B2995" s="4" t="s">
        <v>14656</v>
      </c>
    </row>
    <row r="2996">
      <c r="A2996" s="4" t="s">
        <v>14657</v>
      </c>
      <c r="B2996" s="4" t="s">
        <v>14658</v>
      </c>
    </row>
    <row r="2997">
      <c r="A2997" s="4" t="s">
        <v>14659</v>
      </c>
      <c r="B2997" s="4" t="s">
        <v>14660</v>
      </c>
    </row>
    <row r="2998">
      <c r="A2998" s="4" t="s">
        <v>14661</v>
      </c>
      <c r="B2998" s="4" t="s">
        <v>14662</v>
      </c>
    </row>
    <row r="2999">
      <c r="A2999" s="4" t="s">
        <v>14663</v>
      </c>
      <c r="B2999" s="4" t="s">
        <v>14664</v>
      </c>
    </row>
    <row r="3000">
      <c r="A3000" s="4" t="s">
        <v>14665</v>
      </c>
      <c r="B3000" s="4" t="s">
        <v>14666</v>
      </c>
    </row>
    <row r="3001">
      <c r="A3001" s="4" t="s">
        <v>14667</v>
      </c>
      <c r="B3001" s="4" t="s">
        <v>14668</v>
      </c>
    </row>
    <row r="3002">
      <c r="A3002" s="4" t="s">
        <v>14669</v>
      </c>
      <c r="B3002" s="4" t="s">
        <v>14670</v>
      </c>
    </row>
    <row r="3003">
      <c r="A3003" s="4" t="s">
        <v>14671</v>
      </c>
      <c r="B3003" s="4" t="s">
        <v>14672</v>
      </c>
    </row>
    <row r="3004">
      <c r="A3004" s="4" t="s">
        <v>14673</v>
      </c>
      <c r="B3004" s="4" t="s">
        <v>14674</v>
      </c>
    </row>
    <row r="3005">
      <c r="A3005" s="4" t="s">
        <v>14675</v>
      </c>
      <c r="B3005" s="4" t="s">
        <v>14676</v>
      </c>
    </row>
    <row r="3006">
      <c r="A3006" s="4" t="s">
        <v>14677</v>
      </c>
      <c r="B3006" s="4" t="s">
        <v>14678</v>
      </c>
    </row>
    <row r="3007">
      <c r="A3007" s="4" t="s">
        <v>14679</v>
      </c>
      <c r="B3007" s="4" t="s">
        <v>14680</v>
      </c>
    </row>
    <row r="3008">
      <c r="A3008" s="4" t="s">
        <v>14681</v>
      </c>
      <c r="B3008" s="4" t="s">
        <v>14682</v>
      </c>
    </row>
    <row r="3009">
      <c r="A3009" s="4" t="s">
        <v>14683</v>
      </c>
      <c r="B3009" s="4" t="s">
        <v>14684</v>
      </c>
    </row>
    <row r="3010">
      <c r="A3010" s="4" t="s">
        <v>14685</v>
      </c>
      <c r="B3010" s="4" t="s">
        <v>14686</v>
      </c>
    </row>
    <row r="3011">
      <c r="A3011" s="4" t="s">
        <v>14687</v>
      </c>
      <c r="B3011" s="4" t="s">
        <v>14688</v>
      </c>
    </row>
    <row r="3012">
      <c r="A3012" s="4" t="s">
        <v>14689</v>
      </c>
      <c r="B3012" s="4" t="s">
        <v>14690</v>
      </c>
    </row>
    <row r="3013">
      <c r="A3013" s="4" t="s">
        <v>14691</v>
      </c>
      <c r="B3013" s="4" t="s">
        <v>14692</v>
      </c>
    </row>
    <row r="3014">
      <c r="A3014" s="4" t="s">
        <v>14693</v>
      </c>
      <c r="B3014" s="4" t="s">
        <v>14694</v>
      </c>
    </row>
    <row r="3015">
      <c r="A3015" s="4" t="s">
        <v>14695</v>
      </c>
      <c r="B3015" s="4" t="s">
        <v>14696</v>
      </c>
    </row>
    <row r="3016">
      <c r="A3016" s="4" t="s">
        <v>14697</v>
      </c>
      <c r="B3016" s="4" t="s">
        <v>14698</v>
      </c>
    </row>
    <row r="3017">
      <c r="A3017" s="4" t="s">
        <v>14699</v>
      </c>
      <c r="B3017" s="4" t="s">
        <v>14700</v>
      </c>
    </row>
    <row r="3018">
      <c r="A3018" s="4" t="s">
        <v>14701</v>
      </c>
      <c r="B3018" s="4" t="s">
        <v>14702</v>
      </c>
    </row>
    <row r="3019">
      <c r="A3019" s="4" t="s">
        <v>14703</v>
      </c>
      <c r="B3019" s="4" t="s">
        <v>14704</v>
      </c>
    </row>
    <row r="3020">
      <c r="A3020" s="4" t="s">
        <v>14705</v>
      </c>
      <c r="B3020" s="4" t="s">
        <v>14706</v>
      </c>
    </row>
    <row r="3021">
      <c r="A3021" s="4" t="s">
        <v>14707</v>
      </c>
      <c r="B3021" s="4" t="s">
        <v>14708</v>
      </c>
    </row>
    <row r="3022">
      <c r="A3022" s="4" t="s">
        <v>14709</v>
      </c>
      <c r="B3022" s="4" t="s">
        <v>14710</v>
      </c>
    </row>
    <row r="3023">
      <c r="A3023" s="4" t="s">
        <v>14711</v>
      </c>
      <c r="B3023" s="4" t="s">
        <v>14712</v>
      </c>
    </row>
    <row r="3024">
      <c r="A3024" s="4" t="s">
        <v>14713</v>
      </c>
      <c r="B3024" s="4" t="s">
        <v>14714</v>
      </c>
    </row>
    <row r="3025">
      <c r="A3025" s="4" t="s">
        <v>14715</v>
      </c>
      <c r="B3025" s="4" t="s">
        <v>14716</v>
      </c>
    </row>
    <row r="3026">
      <c r="A3026" s="4" t="s">
        <v>14717</v>
      </c>
      <c r="B3026" s="4" t="s">
        <v>14718</v>
      </c>
    </row>
    <row r="3027">
      <c r="A3027" s="4" t="s">
        <v>14719</v>
      </c>
      <c r="B3027" s="4" t="s">
        <v>14720</v>
      </c>
    </row>
    <row r="3028">
      <c r="A3028" s="4" t="s">
        <v>14721</v>
      </c>
      <c r="B3028" s="4" t="s">
        <v>14722</v>
      </c>
    </row>
    <row r="3029">
      <c r="A3029" s="4" t="s">
        <v>14723</v>
      </c>
      <c r="B3029" s="4" t="s">
        <v>14724</v>
      </c>
    </row>
    <row r="3030">
      <c r="A3030" s="4" t="s">
        <v>14725</v>
      </c>
      <c r="B3030" s="4" t="s">
        <v>14726</v>
      </c>
    </row>
    <row r="3031">
      <c r="A3031" s="4" t="s">
        <v>14727</v>
      </c>
      <c r="B3031" s="4" t="s">
        <v>14728</v>
      </c>
    </row>
    <row r="3032">
      <c r="A3032" s="4" t="s">
        <v>14729</v>
      </c>
      <c r="B3032" s="4" t="s">
        <v>14730</v>
      </c>
    </row>
    <row r="3033">
      <c r="A3033" s="4" t="s">
        <v>14731</v>
      </c>
      <c r="B3033" s="4" t="s">
        <v>14732</v>
      </c>
    </row>
    <row r="3034">
      <c r="A3034" s="4" t="s">
        <v>14733</v>
      </c>
      <c r="B3034" s="4" t="s">
        <v>14734</v>
      </c>
    </row>
    <row r="3035">
      <c r="A3035" s="4" t="s">
        <v>14735</v>
      </c>
      <c r="B3035" s="4" t="s">
        <v>14736</v>
      </c>
    </row>
    <row r="3036">
      <c r="A3036" s="4" t="s">
        <v>14737</v>
      </c>
      <c r="B3036" s="4" t="s">
        <v>14738</v>
      </c>
    </row>
    <row r="3037">
      <c r="A3037" s="4" t="s">
        <v>14739</v>
      </c>
      <c r="B3037" s="4" t="s">
        <v>14740</v>
      </c>
    </row>
    <row r="3038">
      <c r="A3038" s="4" t="s">
        <v>14741</v>
      </c>
      <c r="B3038" s="4" t="s">
        <v>14742</v>
      </c>
    </row>
    <row r="3039">
      <c r="A3039" s="4" t="s">
        <v>14743</v>
      </c>
      <c r="B3039" s="4" t="s">
        <v>14744</v>
      </c>
    </row>
    <row r="3040">
      <c r="A3040" s="4" t="s">
        <v>14745</v>
      </c>
      <c r="B3040" s="4" t="s">
        <v>14746</v>
      </c>
    </row>
    <row r="3041">
      <c r="A3041" s="4" t="s">
        <v>14747</v>
      </c>
      <c r="B3041" s="4" t="s">
        <v>14748</v>
      </c>
    </row>
    <row r="3042">
      <c r="A3042" s="4" t="s">
        <v>14749</v>
      </c>
      <c r="B3042" s="4" t="s">
        <v>14750</v>
      </c>
    </row>
    <row r="3043">
      <c r="A3043" s="4" t="s">
        <v>14751</v>
      </c>
      <c r="B3043" s="4" t="s">
        <v>14752</v>
      </c>
    </row>
    <row r="3044">
      <c r="A3044" s="4" t="s">
        <v>14753</v>
      </c>
      <c r="B3044" s="4" t="s">
        <v>14754</v>
      </c>
    </row>
    <row r="3045">
      <c r="A3045" s="4" t="s">
        <v>14755</v>
      </c>
      <c r="B3045" s="4" t="s">
        <v>14756</v>
      </c>
    </row>
    <row r="3046">
      <c r="A3046" s="4" t="s">
        <v>14757</v>
      </c>
      <c r="B3046" s="4" t="s">
        <v>14758</v>
      </c>
    </row>
    <row r="3047">
      <c r="A3047" s="4" t="s">
        <v>14759</v>
      </c>
      <c r="B3047" s="4" t="s">
        <v>14760</v>
      </c>
    </row>
    <row r="3048">
      <c r="A3048" s="4" t="s">
        <v>14761</v>
      </c>
      <c r="B3048" s="4" t="s">
        <v>14762</v>
      </c>
    </row>
    <row r="3049">
      <c r="A3049" s="4" t="s">
        <v>14763</v>
      </c>
      <c r="B3049" s="4" t="s">
        <v>14764</v>
      </c>
    </row>
    <row r="3050">
      <c r="A3050" s="4" t="s">
        <v>14765</v>
      </c>
      <c r="B3050" s="4" t="s">
        <v>14766</v>
      </c>
    </row>
    <row r="3051">
      <c r="A3051" s="4" t="s">
        <v>14767</v>
      </c>
      <c r="B3051" s="4" t="s">
        <v>14768</v>
      </c>
    </row>
    <row r="3052">
      <c r="A3052" s="4" t="s">
        <v>14769</v>
      </c>
      <c r="B3052" s="4" t="s">
        <v>14770</v>
      </c>
    </row>
    <row r="3053">
      <c r="A3053" s="4" t="s">
        <v>14771</v>
      </c>
      <c r="B3053" s="4" t="s">
        <v>14772</v>
      </c>
    </row>
    <row r="3054">
      <c r="A3054" s="4" t="s">
        <v>14773</v>
      </c>
      <c r="B3054" s="4" t="s">
        <v>14774</v>
      </c>
    </row>
    <row r="3055">
      <c r="A3055" s="4" t="s">
        <v>14775</v>
      </c>
      <c r="B3055" s="4" t="s">
        <v>14776</v>
      </c>
    </row>
    <row r="3056">
      <c r="A3056" s="4" t="s">
        <v>14777</v>
      </c>
      <c r="B3056" s="4" t="s">
        <v>14778</v>
      </c>
    </row>
    <row r="3057">
      <c r="A3057" s="4" t="s">
        <v>14779</v>
      </c>
      <c r="B3057" s="4" t="s">
        <v>14780</v>
      </c>
    </row>
    <row r="3058">
      <c r="A3058" s="4" t="s">
        <v>14781</v>
      </c>
      <c r="B3058" s="4" t="s">
        <v>14782</v>
      </c>
    </row>
    <row r="3059">
      <c r="A3059" s="4" t="s">
        <v>14783</v>
      </c>
      <c r="B3059" s="4" t="s">
        <v>14784</v>
      </c>
    </row>
    <row r="3060">
      <c r="A3060" s="4" t="s">
        <v>14785</v>
      </c>
      <c r="B3060" s="4" t="s">
        <v>14786</v>
      </c>
    </row>
    <row r="3061">
      <c r="A3061" s="4" t="s">
        <v>14787</v>
      </c>
      <c r="B3061" s="4" t="s">
        <v>14788</v>
      </c>
    </row>
    <row r="3062">
      <c r="A3062" s="4" t="s">
        <v>14789</v>
      </c>
      <c r="B3062" s="4" t="s">
        <v>14790</v>
      </c>
    </row>
    <row r="3063">
      <c r="A3063" s="4" t="s">
        <v>14791</v>
      </c>
      <c r="B3063" s="4" t="s">
        <v>14792</v>
      </c>
    </row>
    <row r="3064">
      <c r="A3064" s="4" t="s">
        <v>14793</v>
      </c>
      <c r="B3064" s="4" t="s">
        <v>14794</v>
      </c>
    </row>
    <row r="3065">
      <c r="A3065" s="4" t="s">
        <v>14795</v>
      </c>
      <c r="B3065" s="4" t="s">
        <v>14796</v>
      </c>
    </row>
    <row r="3066">
      <c r="A3066" s="4" t="s">
        <v>14797</v>
      </c>
      <c r="B3066" s="4" t="s">
        <v>14798</v>
      </c>
    </row>
    <row r="3067">
      <c r="A3067" s="4" t="s">
        <v>14799</v>
      </c>
      <c r="B3067" s="4" t="s">
        <v>14800</v>
      </c>
    </row>
    <row r="3068">
      <c r="A3068" s="4" t="s">
        <v>14801</v>
      </c>
      <c r="B3068" s="4" t="s">
        <v>14802</v>
      </c>
    </row>
    <row r="3069">
      <c r="A3069" s="4" t="s">
        <v>14803</v>
      </c>
      <c r="B3069" s="4" t="s">
        <v>14804</v>
      </c>
    </row>
    <row r="3070">
      <c r="A3070" s="4" t="s">
        <v>14805</v>
      </c>
      <c r="B3070" s="4" t="s">
        <v>14806</v>
      </c>
    </row>
    <row r="3071">
      <c r="A3071" s="4" t="s">
        <v>14807</v>
      </c>
      <c r="B3071" s="4" t="s">
        <v>14808</v>
      </c>
    </row>
    <row r="3072">
      <c r="A3072" s="4" t="s">
        <v>14809</v>
      </c>
      <c r="B3072" s="4" t="s">
        <v>14810</v>
      </c>
    </row>
    <row r="3073">
      <c r="A3073" s="4" t="s">
        <v>14811</v>
      </c>
      <c r="B3073" s="4" t="s">
        <v>14812</v>
      </c>
    </row>
    <row r="3074">
      <c r="A3074" s="4" t="s">
        <v>14813</v>
      </c>
      <c r="B3074" s="4" t="s">
        <v>14814</v>
      </c>
    </row>
    <row r="3075">
      <c r="A3075" s="4" t="s">
        <v>14815</v>
      </c>
      <c r="B3075" s="4" t="s">
        <v>14816</v>
      </c>
    </row>
    <row r="3076">
      <c r="A3076" s="4" t="s">
        <v>14817</v>
      </c>
      <c r="B3076" s="4" t="s">
        <v>14818</v>
      </c>
    </row>
    <row r="3077">
      <c r="A3077" s="4" t="s">
        <v>14819</v>
      </c>
      <c r="B3077" s="4" t="s">
        <v>14820</v>
      </c>
    </row>
    <row r="3078">
      <c r="A3078" s="4" t="s">
        <v>14821</v>
      </c>
      <c r="B3078" s="4" t="s">
        <v>14822</v>
      </c>
    </row>
    <row r="3079">
      <c r="A3079" s="4" t="s">
        <v>14823</v>
      </c>
      <c r="B3079" s="4" t="s">
        <v>14824</v>
      </c>
    </row>
    <row r="3080">
      <c r="A3080" s="4" t="s">
        <v>14825</v>
      </c>
      <c r="B3080" s="4" t="s">
        <v>14826</v>
      </c>
    </row>
    <row r="3081">
      <c r="A3081" s="4" t="s">
        <v>14827</v>
      </c>
      <c r="B3081" s="4" t="s">
        <v>14828</v>
      </c>
    </row>
    <row r="3082">
      <c r="A3082" s="4" t="s">
        <v>14829</v>
      </c>
      <c r="B3082" s="4" t="s">
        <v>14830</v>
      </c>
    </row>
    <row r="3083">
      <c r="A3083" s="4" t="s">
        <v>14831</v>
      </c>
      <c r="B3083" s="4" t="s">
        <v>14832</v>
      </c>
    </row>
    <row r="3084">
      <c r="A3084" s="4" t="s">
        <v>14833</v>
      </c>
      <c r="B3084" s="4" t="s">
        <v>14834</v>
      </c>
    </row>
    <row r="3085">
      <c r="A3085" s="4" t="s">
        <v>14835</v>
      </c>
      <c r="B3085" s="4" t="s">
        <v>14836</v>
      </c>
    </row>
    <row r="3086">
      <c r="A3086" s="4" t="s">
        <v>14837</v>
      </c>
      <c r="B3086" s="4" t="s">
        <v>14838</v>
      </c>
    </row>
    <row r="3087">
      <c r="A3087" s="4" t="s">
        <v>14839</v>
      </c>
      <c r="B3087" s="4" t="s">
        <v>14840</v>
      </c>
    </row>
    <row r="3088">
      <c r="A3088" s="4" t="s">
        <v>14841</v>
      </c>
      <c r="B3088" s="4" t="s">
        <v>14842</v>
      </c>
    </row>
    <row r="3089">
      <c r="A3089" s="4" t="s">
        <v>14843</v>
      </c>
      <c r="B3089" s="4" t="s">
        <v>14844</v>
      </c>
    </row>
    <row r="3090">
      <c r="A3090" s="4" t="s">
        <v>14845</v>
      </c>
      <c r="B3090" s="4" t="s">
        <v>14846</v>
      </c>
    </row>
    <row r="3091">
      <c r="A3091" s="4" t="s">
        <v>14847</v>
      </c>
      <c r="B3091" s="4" t="s">
        <v>14848</v>
      </c>
    </row>
    <row r="3092">
      <c r="A3092" s="4" t="s">
        <v>14849</v>
      </c>
      <c r="B3092" s="4" t="s">
        <v>14850</v>
      </c>
    </row>
    <row r="3093">
      <c r="A3093" s="4" t="s">
        <v>14851</v>
      </c>
      <c r="B3093" s="4" t="s">
        <v>14852</v>
      </c>
    </row>
    <row r="3094">
      <c r="A3094" s="4" t="s">
        <v>14853</v>
      </c>
      <c r="B3094" s="4" t="s">
        <v>14854</v>
      </c>
    </row>
    <row r="3095">
      <c r="A3095" s="4" t="s">
        <v>14855</v>
      </c>
      <c r="B3095" s="4" t="s">
        <v>14856</v>
      </c>
    </row>
    <row r="3096">
      <c r="A3096" s="4" t="s">
        <v>14857</v>
      </c>
      <c r="B3096" s="4" t="s">
        <v>14858</v>
      </c>
    </row>
    <row r="3097">
      <c r="A3097" s="4" t="s">
        <v>14859</v>
      </c>
      <c r="B3097" s="4" t="s">
        <v>14860</v>
      </c>
    </row>
    <row r="3098">
      <c r="A3098" s="4" t="s">
        <v>14861</v>
      </c>
      <c r="B3098" s="4" t="s">
        <v>14862</v>
      </c>
    </row>
    <row r="3099">
      <c r="A3099" s="4" t="s">
        <v>14863</v>
      </c>
      <c r="B3099" s="4" t="s">
        <v>14864</v>
      </c>
    </row>
    <row r="3100">
      <c r="A3100" s="4" t="s">
        <v>14865</v>
      </c>
      <c r="B3100" s="4" t="s">
        <v>14866</v>
      </c>
    </row>
    <row r="3101">
      <c r="A3101" s="4" t="s">
        <v>14867</v>
      </c>
      <c r="B3101" s="4" t="s">
        <v>14868</v>
      </c>
    </row>
    <row r="3102">
      <c r="A3102" s="4" t="s">
        <v>14869</v>
      </c>
      <c r="B3102" s="4" t="s">
        <v>14870</v>
      </c>
    </row>
    <row r="3103">
      <c r="A3103" s="4" t="s">
        <v>14871</v>
      </c>
      <c r="B3103" s="4" t="s">
        <v>14872</v>
      </c>
    </row>
    <row r="3104">
      <c r="A3104" s="4" t="s">
        <v>14873</v>
      </c>
      <c r="B3104" s="4" t="s">
        <v>14874</v>
      </c>
    </row>
    <row r="3105">
      <c r="A3105" s="4" t="s">
        <v>14875</v>
      </c>
      <c r="B3105" s="4" t="s">
        <v>14876</v>
      </c>
    </row>
    <row r="3106">
      <c r="A3106" s="4" t="s">
        <v>14877</v>
      </c>
      <c r="B3106" s="4" t="s">
        <v>14878</v>
      </c>
    </row>
    <row r="3107">
      <c r="A3107" s="4" t="s">
        <v>14879</v>
      </c>
      <c r="B3107" s="4" t="s">
        <v>14880</v>
      </c>
    </row>
    <row r="3108">
      <c r="A3108" s="4" t="s">
        <v>14881</v>
      </c>
      <c r="B3108" s="4" t="s">
        <v>14882</v>
      </c>
    </row>
    <row r="3109">
      <c r="A3109" s="4" t="s">
        <v>14883</v>
      </c>
      <c r="B3109" s="4" t="s">
        <v>14884</v>
      </c>
    </row>
    <row r="3110">
      <c r="A3110" s="4" t="s">
        <v>14885</v>
      </c>
      <c r="B3110" s="4" t="s">
        <v>14886</v>
      </c>
    </row>
    <row r="3111">
      <c r="A3111" s="4" t="s">
        <v>14887</v>
      </c>
      <c r="B3111" s="4" t="s">
        <v>14888</v>
      </c>
    </row>
    <row r="3112">
      <c r="A3112" s="4" t="s">
        <v>14889</v>
      </c>
      <c r="B3112" s="4" t="s">
        <v>14890</v>
      </c>
    </row>
    <row r="3113">
      <c r="A3113" s="4" t="s">
        <v>14891</v>
      </c>
      <c r="B3113" s="4" t="s">
        <v>14892</v>
      </c>
    </row>
    <row r="3114">
      <c r="A3114" s="4" t="s">
        <v>14893</v>
      </c>
      <c r="B3114" s="4" t="s">
        <v>14894</v>
      </c>
    </row>
    <row r="3115">
      <c r="A3115" s="4" t="s">
        <v>14895</v>
      </c>
      <c r="B3115" s="4" t="s">
        <v>14896</v>
      </c>
    </row>
    <row r="3116">
      <c r="A3116" s="4" t="s">
        <v>14897</v>
      </c>
      <c r="B3116" s="4" t="s">
        <v>14898</v>
      </c>
    </row>
    <row r="3117">
      <c r="A3117" s="4" t="s">
        <v>14899</v>
      </c>
      <c r="B3117" s="4" t="s">
        <v>14900</v>
      </c>
    </row>
    <row r="3118">
      <c r="A3118" s="4" t="s">
        <v>14901</v>
      </c>
      <c r="B3118" s="4" t="s">
        <v>14902</v>
      </c>
    </row>
    <row r="3119">
      <c r="A3119" s="4" t="s">
        <v>14903</v>
      </c>
      <c r="B3119" s="4" t="s">
        <v>14904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14905</v>
      </c>
      <c r="B1" s="4" t="s">
        <v>14906</v>
      </c>
    </row>
    <row r="2">
      <c r="A2" s="4" t="s">
        <v>14907</v>
      </c>
      <c r="B2" s="4" t="s">
        <v>14908</v>
      </c>
    </row>
    <row r="3">
      <c r="A3" s="4" t="s">
        <v>14909</v>
      </c>
      <c r="B3" s="4" t="s">
        <v>14910</v>
      </c>
    </row>
    <row r="4">
      <c r="A4" s="4" t="s">
        <v>14911</v>
      </c>
      <c r="B4" s="4" t="s">
        <v>14912</v>
      </c>
    </row>
    <row r="5">
      <c r="A5" s="4" t="s">
        <v>14913</v>
      </c>
      <c r="B5" s="4" t="s">
        <v>14914</v>
      </c>
    </row>
    <row r="6">
      <c r="A6" s="4" t="s">
        <v>14915</v>
      </c>
      <c r="B6" s="4" t="s">
        <v>14916</v>
      </c>
    </row>
    <row r="7">
      <c r="A7" s="4" t="s">
        <v>14917</v>
      </c>
      <c r="B7" s="4" t="s">
        <v>14918</v>
      </c>
    </row>
    <row r="8">
      <c r="A8" s="4" t="s">
        <v>14919</v>
      </c>
      <c r="B8" s="4" t="s">
        <v>14920</v>
      </c>
    </row>
    <row r="9">
      <c r="A9" s="4" t="s">
        <v>14921</v>
      </c>
      <c r="B9" s="4" t="s">
        <v>14922</v>
      </c>
    </row>
    <row r="10">
      <c r="A10" s="4" t="s">
        <v>14923</v>
      </c>
      <c r="B10" s="4" t="s">
        <v>14924</v>
      </c>
    </row>
    <row r="11">
      <c r="A11" s="4" t="s">
        <v>14925</v>
      </c>
      <c r="B11" s="4" t="s">
        <v>14926</v>
      </c>
    </row>
    <row r="12">
      <c r="A12" s="4" t="s">
        <v>14927</v>
      </c>
      <c r="B12" s="4" t="s">
        <v>14928</v>
      </c>
    </row>
    <row r="13">
      <c r="A13" s="4" t="s">
        <v>14929</v>
      </c>
      <c r="B13" s="4" t="s">
        <v>14930</v>
      </c>
    </row>
    <row r="14">
      <c r="A14" s="4" t="s">
        <v>14931</v>
      </c>
      <c r="B14" s="4" t="s">
        <v>14932</v>
      </c>
    </row>
    <row r="15">
      <c r="A15" s="4" t="s">
        <v>14933</v>
      </c>
      <c r="B15" s="4" t="s">
        <v>14934</v>
      </c>
    </row>
    <row r="16">
      <c r="A16" s="4" t="s">
        <v>14935</v>
      </c>
      <c r="B16" s="4" t="s">
        <v>14936</v>
      </c>
    </row>
    <row r="17">
      <c r="A17" s="4" t="s">
        <v>14937</v>
      </c>
      <c r="B17" s="4" t="s">
        <v>14938</v>
      </c>
    </row>
    <row r="18">
      <c r="A18" s="4" t="s">
        <v>14939</v>
      </c>
      <c r="B18" s="4" t="s">
        <v>14940</v>
      </c>
    </row>
    <row r="19">
      <c r="A19" s="4" t="s">
        <v>14941</v>
      </c>
      <c r="B19" s="4" t="s">
        <v>14942</v>
      </c>
    </row>
    <row r="20">
      <c r="A20" s="4" t="s">
        <v>14943</v>
      </c>
      <c r="B20" s="4" t="s">
        <v>14944</v>
      </c>
    </row>
    <row r="21">
      <c r="A21" s="4" t="s">
        <v>14945</v>
      </c>
      <c r="B21" s="4" t="s">
        <v>14946</v>
      </c>
    </row>
    <row r="22">
      <c r="A22" s="4" t="s">
        <v>14947</v>
      </c>
      <c r="B22" s="4" t="s">
        <v>14948</v>
      </c>
    </row>
    <row r="23">
      <c r="A23" s="4" t="s">
        <v>14949</v>
      </c>
      <c r="B23" s="4" t="s">
        <v>14950</v>
      </c>
    </row>
    <row r="24">
      <c r="A24" s="4" t="s">
        <v>14951</v>
      </c>
      <c r="B24" s="4" t="s">
        <v>14952</v>
      </c>
    </row>
    <row r="25">
      <c r="A25" s="4" t="s">
        <v>14953</v>
      </c>
      <c r="B25" s="4" t="s">
        <v>14954</v>
      </c>
    </row>
    <row r="26">
      <c r="A26" s="4" t="s">
        <v>14955</v>
      </c>
      <c r="B26" s="4" t="s">
        <v>14956</v>
      </c>
    </row>
    <row r="27">
      <c r="A27" s="4" t="s">
        <v>14957</v>
      </c>
      <c r="B27" s="4" t="s">
        <v>14958</v>
      </c>
    </row>
    <row r="28">
      <c r="A28" s="4" t="s">
        <v>14959</v>
      </c>
      <c r="B28" s="4" t="s">
        <v>14960</v>
      </c>
    </row>
    <row r="29">
      <c r="A29" s="4" t="s">
        <v>14961</v>
      </c>
      <c r="B29" s="4" t="s">
        <v>14962</v>
      </c>
    </row>
    <row r="30">
      <c r="A30" s="4" t="s">
        <v>14963</v>
      </c>
      <c r="B30" s="4" t="s">
        <v>14964</v>
      </c>
    </row>
    <row r="31">
      <c r="A31" s="4" t="s">
        <v>14965</v>
      </c>
      <c r="B31" s="4" t="s">
        <v>14966</v>
      </c>
    </row>
    <row r="32">
      <c r="A32" s="4" t="s">
        <v>14967</v>
      </c>
      <c r="B32" s="4" t="s">
        <v>14968</v>
      </c>
    </row>
    <row r="33">
      <c r="A33" s="4" t="s">
        <v>14969</v>
      </c>
      <c r="B33" s="4" t="s">
        <v>14970</v>
      </c>
    </row>
    <row r="34">
      <c r="A34" s="4" t="s">
        <v>14971</v>
      </c>
      <c r="B34" s="4" t="s">
        <v>14972</v>
      </c>
    </row>
    <row r="35">
      <c r="A35" s="4" t="s">
        <v>14973</v>
      </c>
      <c r="B35" s="4" t="s">
        <v>14974</v>
      </c>
    </row>
    <row r="36">
      <c r="A36" s="4" t="s">
        <v>14975</v>
      </c>
      <c r="B36" s="4" t="s">
        <v>14976</v>
      </c>
    </row>
    <row r="37">
      <c r="A37" s="4" t="s">
        <v>14977</v>
      </c>
      <c r="B37" s="4" t="s">
        <v>14978</v>
      </c>
    </row>
    <row r="38">
      <c r="A38" s="4" t="s">
        <v>14979</v>
      </c>
      <c r="B38" s="4" t="s">
        <v>14980</v>
      </c>
    </row>
    <row r="39">
      <c r="A39" s="4" t="s">
        <v>14981</v>
      </c>
      <c r="B39" s="4" t="s">
        <v>14982</v>
      </c>
    </row>
    <row r="40">
      <c r="A40" s="4" t="s">
        <v>14983</v>
      </c>
      <c r="B40" s="4" t="s">
        <v>14984</v>
      </c>
    </row>
    <row r="41">
      <c r="A41" s="4" t="s">
        <v>14985</v>
      </c>
      <c r="B41" s="4" t="s">
        <v>14986</v>
      </c>
    </row>
    <row r="42">
      <c r="A42" s="4" t="s">
        <v>14987</v>
      </c>
      <c r="B42" s="4" t="s">
        <v>14988</v>
      </c>
    </row>
    <row r="43">
      <c r="A43" s="4" t="s">
        <v>14989</v>
      </c>
      <c r="B43" s="4" t="s">
        <v>14990</v>
      </c>
    </row>
    <row r="44">
      <c r="A44" s="4" t="s">
        <v>14991</v>
      </c>
      <c r="B44" s="4" t="s">
        <v>14992</v>
      </c>
    </row>
    <row r="45">
      <c r="A45" s="4" t="s">
        <v>14993</v>
      </c>
      <c r="B45" s="4" t="s">
        <v>14994</v>
      </c>
    </row>
    <row r="46">
      <c r="A46" s="4" t="s">
        <v>14995</v>
      </c>
      <c r="B46" s="4" t="s">
        <v>14996</v>
      </c>
    </row>
    <row r="47">
      <c r="A47" s="4" t="s">
        <v>14997</v>
      </c>
      <c r="B47" s="4" t="s">
        <v>14998</v>
      </c>
    </row>
    <row r="48">
      <c r="A48" s="4" t="s">
        <v>14999</v>
      </c>
      <c r="B48" s="4" t="s">
        <v>15000</v>
      </c>
    </row>
    <row r="49">
      <c r="A49" s="4" t="s">
        <v>15001</v>
      </c>
      <c r="B49" s="4" t="s">
        <v>15002</v>
      </c>
    </row>
    <row r="50">
      <c r="A50" s="4" t="s">
        <v>15003</v>
      </c>
      <c r="B50" s="4" t="s">
        <v>15004</v>
      </c>
    </row>
    <row r="51">
      <c r="A51" s="4" t="s">
        <v>15005</v>
      </c>
      <c r="B51" s="4" t="s">
        <v>15006</v>
      </c>
    </row>
    <row r="52">
      <c r="A52" s="4" t="s">
        <v>15007</v>
      </c>
      <c r="B52" s="4" t="s">
        <v>15008</v>
      </c>
    </row>
    <row r="53">
      <c r="A53" s="4" t="s">
        <v>15009</v>
      </c>
      <c r="B53" s="4" t="s">
        <v>15010</v>
      </c>
    </row>
    <row r="54">
      <c r="A54" s="4" t="s">
        <v>15011</v>
      </c>
      <c r="B54" s="4" t="s">
        <v>15012</v>
      </c>
    </row>
    <row r="55">
      <c r="A55" s="4" t="s">
        <v>15013</v>
      </c>
      <c r="B55" s="4" t="s">
        <v>15014</v>
      </c>
    </row>
    <row r="56">
      <c r="A56" s="4" t="s">
        <v>15015</v>
      </c>
      <c r="B56" s="4" t="s">
        <v>15016</v>
      </c>
    </row>
    <row r="57">
      <c r="A57" s="4" t="s">
        <v>15017</v>
      </c>
      <c r="B57" s="4" t="s">
        <v>15018</v>
      </c>
    </row>
    <row r="58">
      <c r="A58" s="4" t="s">
        <v>15019</v>
      </c>
      <c r="B58" s="4" t="s">
        <v>15020</v>
      </c>
    </row>
    <row r="59">
      <c r="A59" s="4" t="s">
        <v>15021</v>
      </c>
      <c r="B59" s="4" t="s">
        <v>15022</v>
      </c>
    </row>
    <row r="60">
      <c r="A60" s="4" t="s">
        <v>15023</v>
      </c>
      <c r="B60" s="4" t="s">
        <v>15024</v>
      </c>
    </row>
    <row r="61">
      <c r="A61" s="4" t="s">
        <v>15025</v>
      </c>
      <c r="B61" s="4" t="s">
        <v>15026</v>
      </c>
    </row>
    <row r="62">
      <c r="A62" s="4" t="s">
        <v>15027</v>
      </c>
      <c r="B62" s="4" t="s">
        <v>15028</v>
      </c>
    </row>
    <row r="63">
      <c r="A63" s="4" t="s">
        <v>15029</v>
      </c>
      <c r="B63" s="4" t="s">
        <v>15030</v>
      </c>
    </row>
    <row r="64">
      <c r="A64" s="4" t="s">
        <v>15031</v>
      </c>
      <c r="B64" s="4" t="s">
        <v>15032</v>
      </c>
    </row>
    <row r="65">
      <c r="A65" s="4" t="s">
        <v>15033</v>
      </c>
      <c r="B65" s="4" t="s">
        <v>15034</v>
      </c>
    </row>
    <row r="66">
      <c r="A66" s="4" t="s">
        <v>15035</v>
      </c>
      <c r="B66" s="4" t="s">
        <v>15036</v>
      </c>
    </row>
    <row r="67">
      <c r="A67" s="4" t="s">
        <v>15037</v>
      </c>
      <c r="B67" s="4" t="s">
        <v>15038</v>
      </c>
    </row>
    <row r="68">
      <c r="A68" s="4" t="s">
        <v>15039</v>
      </c>
      <c r="B68" s="4" t="s">
        <v>15040</v>
      </c>
    </row>
    <row r="69">
      <c r="A69" s="4" t="s">
        <v>15041</v>
      </c>
      <c r="B69" s="4" t="s">
        <v>15042</v>
      </c>
    </row>
    <row r="70">
      <c r="A70" s="4" t="s">
        <v>15043</v>
      </c>
      <c r="B70" s="4" t="s">
        <v>15044</v>
      </c>
    </row>
    <row r="71">
      <c r="A71" s="4" t="s">
        <v>15045</v>
      </c>
      <c r="B71" s="4" t="s">
        <v>15046</v>
      </c>
    </row>
    <row r="72">
      <c r="A72" s="4" t="s">
        <v>15047</v>
      </c>
      <c r="B72" s="4" t="s">
        <v>15048</v>
      </c>
    </row>
    <row r="73">
      <c r="A73" s="4" t="s">
        <v>15049</v>
      </c>
      <c r="B73" s="4" t="s">
        <v>15050</v>
      </c>
    </row>
    <row r="74">
      <c r="A74" s="4" t="s">
        <v>15051</v>
      </c>
      <c r="B74" s="4" t="s">
        <v>15052</v>
      </c>
    </row>
    <row r="75">
      <c r="A75" s="4" t="s">
        <v>15053</v>
      </c>
      <c r="B75" s="4" t="s">
        <v>15054</v>
      </c>
    </row>
    <row r="76">
      <c r="A76" s="4" t="s">
        <v>15055</v>
      </c>
      <c r="B76" s="4" t="s">
        <v>15056</v>
      </c>
    </row>
    <row r="77">
      <c r="A77" s="4" t="s">
        <v>15057</v>
      </c>
      <c r="B77" s="4" t="s">
        <v>15058</v>
      </c>
    </row>
    <row r="78">
      <c r="A78" s="4" t="s">
        <v>15059</v>
      </c>
      <c r="B78" s="4" t="s">
        <v>15060</v>
      </c>
    </row>
    <row r="79">
      <c r="A79" s="4" t="s">
        <v>15061</v>
      </c>
      <c r="B79" s="4" t="s">
        <v>15062</v>
      </c>
    </row>
    <row r="80">
      <c r="A80" s="4" t="s">
        <v>15063</v>
      </c>
      <c r="B80" s="4" t="s">
        <v>15064</v>
      </c>
    </row>
    <row r="81">
      <c r="A81" s="4" t="s">
        <v>15065</v>
      </c>
      <c r="B81" s="4" t="s">
        <v>15066</v>
      </c>
    </row>
    <row r="82">
      <c r="A82" s="4" t="s">
        <v>15067</v>
      </c>
      <c r="B82" s="4" t="s">
        <v>15068</v>
      </c>
    </row>
    <row r="83">
      <c r="A83" s="4" t="s">
        <v>15069</v>
      </c>
      <c r="B83" s="4" t="s">
        <v>15070</v>
      </c>
    </row>
    <row r="84">
      <c r="A84" s="4" t="s">
        <v>15071</v>
      </c>
      <c r="B84" s="4" t="s">
        <v>15072</v>
      </c>
    </row>
    <row r="85">
      <c r="A85" s="4" t="s">
        <v>15073</v>
      </c>
      <c r="B85" s="4" t="s">
        <v>15074</v>
      </c>
    </row>
    <row r="86">
      <c r="A86" s="4" t="s">
        <v>15075</v>
      </c>
      <c r="B86" s="4" t="s">
        <v>15076</v>
      </c>
    </row>
    <row r="87">
      <c r="A87" s="4" t="s">
        <v>15077</v>
      </c>
      <c r="B87" s="4" t="s">
        <v>15078</v>
      </c>
    </row>
    <row r="88">
      <c r="A88" s="4" t="s">
        <v>15079</v>
      </c>
      <c r="B88" s="4" t="s">
        <v>15080</v>
      </c>
    </row>
    <row r="89">
      <c r="A89" s="4" t="s">
        <v>15081</v>
      </c>
      <c r="B89" s="4" t="s">
        <v>15082</v>
      </c>
    </row>
    <row r="90">
      <c r="A90" s="4" t="s">
        <v>15083</v>
      </c>
      <c r="B90" s="4" t="s">
        <v>15084</v>
      </c>
    </row>
    <row r="91">
      <c r="A91" s="4" t="s">
        <v>15085</v>
      </c>
      <c r="B91" s="4" t="s">
        <v>15086</v>
      </c>
    </row>
    <row r="92">
      <c r="A92" s="4" t="s">
        <v>15087</v>
      </c>
      <c r="B92" s="4" t="s">
        <v>15088</v>
      </c>
    </row>
    <row r="93">
      <c r="A93" s="4" t="s">
        <v>15089</v>
      </c>
      <c r="B93" s="4" t="s">
        <v>15090</v>
      </c>
    </row>
    <row r="94">
      <c r="A94" s="4" t="s">
        <v>15091</v>
      </c>
      <c r="B94" s="4" t="s">
        <v>15092</v>
      </c>
    </row>
    <row r="95">
      <c r="A95" s="4" t="s">
        <v>15093</v>
      </c>
      <c r="B95" s="4" t="s">
        <v>15094</v>
      </c>
    </row>
    <row r="96">
      <c r="A96" s="4" t="s">
        <v>15095</v>
      </c>
      <c r="B96" s="4" t="s">
        <v>15096</v>
      </c>
    </row>
    <row r="97">
      <c r="A97" s="4" t="s">
        <v>15097</v>
      </c>
      <c r="B97" s="4" t="s">
        <v>15098</v>
      </c>
    </row>
    <row r="98">
      <c r="A98" s="4" t="s">
        <v>15099</v>
      </c>
      <c r="B98" s="4" t="s">
        <v>15100</v>
      </c>
    </row>
    <row r="99">
      <c r="A99" s="4" t="s">
        <v>15101</v>
      </c>
      <c r="B99" s="4" t="s">
        <v>15102</v>
      </c>
    </row>
    <row r="100">
      <c r="A100" s="4" t="s">
        <v>15103</v>
      </c>
      <c r="B100" s="4" t="s">
        <v>15104</v>
      </c>
    </row>
    <row r="101">
      <c r="A101" s="4" t="s">
        <v>15105</v>
      </c>
      <c r="B101" s="4" t="s">
        <v>15106</v>
      </c>
    </row>
    <row r="102">
      <c r="A102" s="4" t="s">
        <v>15107</v>
      </c>
      <c r="B102" s="4" t="s">
        <v>15108</v>
      </c>
    </row>
    <row r="103">
      <c r="A103" s="4" t="s">
        <v>15109</v>
      </c>
      <c r="B103" s="4" t="s">
        <v>15110</v>
      </c>
    </row>
    <row r="104">
      <c r="A104" s="4" t="s">
        <v>15111</v>
      </c>
      <c r="B104" s="4" t="s">
        <v>15112</v>
      </c>
    </row>
    <row r="105">
      <c r="A105" s="4" t="s">
        <v>15113</v>
      </c>
      <c r="B105" s="4" t="s">
        <v>15114</v>
      </c>
    </row>
    <row r="106">
      <c r="A106" s="4" t="s">
        <v>15115</v>
      </c>
      <c r="B106" s="4" t="s">
        <v>15116</v>
      </c>
    </row>
    <row r="107">
      <c r="A107" s="4" t="s">
        <v>15117</v>
      </c>
      <c r="B107" s="4" t="s">
        <v>15118</v>
      </c>
    </row>
    <row r="108">
      <c r="A108" s="4" t="s">
        <v>15119</v>
      </c>
      <c r="B108" s="4" t="s">
        <v>15120</v>
      </c>
    </row>
    <row r="109">
      <c r="A109" s="4" t="s">
        <v>15121</v>
      </c>
      <c r="B109" s="4" t="s">
        <v>15122</v>
      </c>
    </row>
    <row r="110">
      <c r="A110" s="4" t="s">
        <v>15123</v>
      </c>
      <c r="B110" s="4" t="s">
        <v>15124</v>
      </c>
    </row>
    <row r="111">
      <c r="A111" s="4" t="s">
        <v>15125</v>
      </c>
      <c r="B111" s="4" t="s">
        <v>15126</v>
      </c>
    </row>
    <row r="112">
      <c r="A112" s="4" t="s">
        <v>15127</v>
      </c>
      <c r="B112" s="4" t="s">
        <v>15128</v>
      </c>
    </row>
    <row r="113">
      <c r="A113" s="4" t="s">
        <v>15129</v>
      </c>
      <c r="B113" s="4" t="s">
        <v>15130</v>
      </c>
    </row>
    <row r="114">
      <c r="A114" s="4" t="s">
        <v>15131</v>
      </c>
      <c r="B114" s="4" t="s">
        <v>15132</v>
      </c>
    </row>
    <row r="115">
      <c r="A115" s="4" t="s">
        <v>15133</v>
      </c>
      <c r="B115" s="4" t="s">
        <v>15134</v>
      </c>
    </row>
    <row r="116">
      <c r="A116" s="4" t="s">
        <v>15135</v>
      </c>
      <c r="B116" s="4" t="s">
        <v>15136</v>
      </c>
    </row>
    <row r="117">
      <c r="A117" s="4" t="s">
        <v>15137</v>
      </c>
      <c r="B117" s="4" t="s">
        <v>15138</v>
      </c>
    </row>
    <row r="118">
      <c r="A118" s="4" t="s">
        <v>15139</v>
      </c>
      <c r="B118" s="4" t="s">
        <v>15140</v>
      </c>
    </row>
    <row r="119">
      <c r="A119" s="4" t="s">
        <v>15141</v>
      </c>
      <c r="B119" s="4" t="s">
        <v>15142</v>
      </c>
    </row>
    <row r="120">
      <c r="A120" s="4" t="s">
        <v>15143</v>
      </c>
      <c r="B120" s="4" t="s">
        <v>15144</v>
      </c>
    </row>
    <row r="121">
      <c r="A121" s="4" t="s">
        <v>15145</v>
      </c>
      <c r="B121" s="4" t="s">
        <v>15146</v>
      </c>
    </row>
    <row r="122">
      <c r="A122" s="4" t="s">
        <v>15147</v>
      </c>
      <c r="B122" s="4" t="s">
        <v>15148</v>
      </c>
    </row>
    <row r="123">
      <c r="A123" s="4" t="s">
        <v>15149</v>
      </c>
      <c r="B123" s="4" t="s">
        <v>15150</v>
      </c>
    </row>
    <row r="124">
      <c r="A124" s="4" t="s">
        <v>15151</v>
      </c>
      <c r="B124" s="4" t="s">
        <v>15152</v>
      </c>
    </row>
    <row r="125">
      <c r="A125" s="4" t="s">
        <v>15153</v>
      </c>
      <c r="B125" s="4" t="s">
        <v>15154</v>
      </c>
    </row>
    <row r="126">
      <c r="A126" s="4" t="s">
        <v>15155</v>
      </c>
      <c r="B126" s="4" t="s">
        <v>15156</v>
      </c>
    </row>
    <row r="127">
      <c r="A127" s="4" t="s">
        <v>15157</v>
      </c>
      <c r="B127" s="4" t="s">
        <v>15158</v>
      </c>
    </row>
    <row r="128">
      <c r="A128" s="4" t="s">
        <v>15159</v>
      </c>
      <c r="B128" s="4" t="s">
        <v>15160</v>
      </c>
    </row>
    <row r="129">
      <c r="A129" s="4" t="s">
        <v>15161</v>
      </c>
      <c r="B129" s="4" t="s">
        <v>15162</v>
      </c>
    </row>
    <row r="130">
      <c r="A130" s="4" t="s">
        <v>15163</v>
      </c>
      <c r="B130" s="4" t="s">
        <v>15164</v>
      </c>
    </row>
    <row r="131">
      <c r="A131" s="4" t="s">
        <v>15165</v>
      </c>
      <c r="B131" s="4" t="s">
        <v>15166</v>
      </c>
    </row>
    <row r="132">
      <c r="A132" s="4" t="s">
        <v>15167</v>
      </c>
      <c r="B132" s="4" t="s">
        <v>15168</v>
      </c>
    </row>
    <row r="133">
      <c r="A133" s="4" t="s">
        <v>15169</v>
      </c>
      <c r="B133" s="4" t="s">
        <v>15170</v>
      </c>
    </row>
    <row r="134">
      <c r="A134" s="4" t="s">
        <v>15171</v>
      </c>
      <c r="B134" s="4" t="s">
        <v>15172</v>
      </c>
    </row>
    <row r="135">
      <c r="A135" s="4" t="s">
        <v>15173</v>
      </c>
      <c r="B135" s="4" t="s">
        <v>15174</v>
      </c>
    </row>
    <row r="136">
      <c r="A136" s="4" t="s">
        <v>15175</v>
      </c>
      <c r="B136" s="4" t="s">
        <v>15176</v>
      </c>
    </row>
    <row r="137">
      <c r="A137" s="4" t="s">
        <v>15177</v>
      </c>
      <c r="B137" s="4" t="s">
        <v>15178</v>
      </c>
    </row>
    <row r="138">
      <c r="A138" s="4" t="s">
        <v>15179</v>
      </c>
      <c r="B138" s="4" t="s">
        <v>15180</v>
      </c>
    </row>
    <row r="139">
      <c r="A139" s="4" t="s">
        <v>15181</v>
      </c>
      <c r="B139" s="4" t="s">
        <v>15182</v>
      </c>
    </row>
    <row r="140">
      <c r="A140" s="4" t="s">
        <v>15183</v>
      </c>
      <c r="B140" s="4" t="s">
        <v>15184</v>
      </c>
    </row>
    <row r="141">
      <c r="A141" s="4" t="s">
        <v>15185</v>
      </c>
      <c r="B141" s="4" t="s">
        <v>15186</v>
      </c>
    </row>
    <row r="142">
      <c r="A142" s="4" t="s">
        <v>15187</v>
      </c>
      <c r="B142" s="4" t="s">
        <v>15188</v>
      </c>
    </row>
    <row r="143">
      <c r="A143" s="4" t="s">
        <v>15189</v>
      </c>
      <c r="B143" s="4" t="s">
        <v>15190</v>
      </c>
    </row>
    <row r="144">
      <c r="A144" s="4" t="s">
        <v>15191</v>
      </c>
      <c r="B144" s="4" t="s">
        <v>15192</v>
      </c>
    </row>
    <row r="145">
      <c r="A145" s="4" t="s">
        <v>15193</v>
      </c>
      <c r="B145" s="4" t="s">
        <v>15194</v>
      </c>
    </row>
    <row r="146">
      <c r="A146" s="4" t="s">
        <v>15195</v>
      </c>
      <c r="B146" s="4" t="s">
        <v>15196</v>
      </c>
    </row>
    <row r="147">
      <c r="A147" s="4" t="s">
        <v>15197</v>
      </c>
      <c r="B147" s="4" t="s">
        <v>15198</v>
      </c>
    </row>
    <row r="148">
      <c r="A148" s="4" t="s">
        <v>15199</v>
      </c>
      <c r="B148" s="4" t="s">
        <v>15200</v>
      </c>
    </row>
    <row r="149">
      <c r="A149" s="4" t="s">
        <v>15201</v>
      </c>
      <c r="B149" s="4" t="s">
        <v>15202</v>
      </c>
    </row>
    <row r="150">
      <c r="A150" s="4" t="s">
        <v>15203</v>
      </c>
      <c r="B150" s="4" t="s">
        <v>15204</v>
      </c>
    </row>
    <row r="151">
      <c r="A151" s="4" t="s">
        <v>15205</v>
      </c>
      <c r="B151" s="4" t="s">
        <v>15206</v>
      </c>
    </row>
    <row r="152">
      <c r="A152" s="4" t="s">
        <v>15207</v>
      </c>
      <c r="B152" s="4" t="s">
        <v>15208</v>
      </c>
    </row>
    <row r="153">
      <c r="A153" s="4" t="s">
        <v>15209</v>
      </c>
      <c r="B153" s="4" t="s">
        <v>15210</v>
      </c>
    </row>
    <row r="154">
      <c r="A154" s="4" t="s">
        <v>15211</v>
      </c>
      <c r="B154" s="4" t="s">
        <v>15212</v>
      </c>
    </row>
    <row r="155">
      <c r="A155" s="4" t="s">
        <v>15213</v>
      </c>
      <c r="B155" s="4" t="s">
        <v>15214</v>
      </c>
    </row>
    <row r="156">
      <c r="A156" s="4" t="s">
        <v>15215</v>
      </c>
      <c r="B156" s="4" t="s">
        <v>15216</v>
      </c>
    </row>
    <row r="157">
      <c r="A157" s="4" t="s">
        <v>15217</v>
      </c>
      <c r="B157" s="4" t="s">
        <v>15218</v>
      </c>
    </row>
    <row r="158">
      <c r="A158" s="4" t="s">
        <v>15219</v>
      </c>
      <c r="B158" s="4" t="s">
        <v>15220</v>
      </c>
    </row>
    <row r="159">
      <c r="A159" s="4" t="s">
        <v>15221</v>
      </c>
      <c r="B159" s="4" t="s">
        <v>15222</v>
      </c>
    </row>
    <row r="160">
      <c r="A160" s="4" t="s">
        <v>15223</v>
      </c>
      <c r="B160" s="4" t="s">
        <v>15224</v>
      </c>
    </row>
    <row r="161">
      <c r="A161" s="4" t="s">
        <v>15225</v>
      </c>
      <c r="B161" s="4" t="s">
        <v>15226</v>
      </c>
    </row>
    <row r="162">
      <c r="A162" s="4" t="s">
        <v>15227</v>
      </c>
      <c r="B162" s="4" t="s">
        <v>15228</v>
      </c>
    </row>
    <row r="163">
      <c r="A163" s="4" t="s">
        <v>15229</v>
      </c>
      <c r="B163" s="4" t="s">
        <v>15230</v>
      </c>
    </row>
    <row r="164">
      <c r="A164" s="4" t="s">
        <v>15231</v>
      </c>
      <c r="B164" s="4" t="s">
        <v>15232</v>
      </c>
    </row>
    <row r="165">
      <c r="A165" s="4" t="s">
        <v>15233</v>
      </c>
      <c r="B165" s="4" t="s">
        <v>15234</v>
      </c>
    </row>
    <row r="166">
      <c r="A166" s="4" t="s">
        <v>15235</v>
      </c>
      <c r="B166" s="4" t="s">
        <v>15236</v>
      </c>
    </row>
    <row r="167">
      <c r="A167" s="4" t="s">
        <v>15237</v>
      </c>
      <c r="B167" s="4" t="s">
        <v>15238</v>
      </c>
    </row>
    <row r="168">
      <c r="A168" s="4" t="s">
        <v>15239</v>
      </c>
      <c r="B168" s="4" t="s">
        <v>15240</v>
      </c>
    </row>
    <row r="169">
      <c r="A169" s="4" t="s">
        <v>15241</v>
      </c>
      <c r="B169" s="4" t="s">
        <v>15242</v>
      </c>
    </row>
    <row r="170">
      <c r="A170" s="4" t="s">
        <v>15243</v>
      </c>
      <c r="B170" s="4" t="s">
        <v>15244</v>
      </c>
    </row>
    <row r="171">
      <c r="A171" s="4" t="s">
        <v>15245</v>
      </c>
      <c r="B171" s="4" t="s">
        <v>15246</v>
      </c>
    </row>
    <row r="172">
      <c r="A172" s="4" t="s">
        <v>15247</v>
      </c>
      <c r="B172" s="4" t="s">
        <v>15248</v>
      </c>
    </row>
    <row r="173">
      <c r="A173" s="4" t="s">
        <v>15249</v>
      </c>
      <c r="B173" s="4" t="s">
        <v>15250</v>
      </c>
    </row>
    <row r="174">
      <c r="A174" s="4" t="s">
        <v>15251</v>
      </c>
      <c r="B174" s="4" t="s">
        <v>15252</v>
      </c>
    </row>
    <row r="175">
      <c r="A175" s="4" t="s">
        <v>15253</v>
      </c>
      <c r="B175" s="4" t="s">
        <v>15254</v>
      </c>
    </row>
    <row r="176">
      <c r="A176" s="4" t="s">
        <v>15255</v>
      </c>
      <c r="B176" s="4" t="s">
        <v>15256</v>
      </c>
    </row>
    <row r="177">
      <c r="A177" s="4" t="s">
        <v>15257</v>
      </c>
      <c r="B177" s="4" t="s">
        <v>15258</v>
      </c>
    </row>
    <row r="178">
      <c r="A178" s="4" t="s">
        <v>15259</v>
      </c>
      <c r="B178" s="4" t="s">
        <v>15260</v>
      </c>
    </row>
    <row r="179">
      <c r="A179" s="4" t="s">
        <v>15261</v>
      </c>
      <c r="B179" s="4" t="s">
        <v>15262</v>
      </c>
    </row>
    <row r="180">
      <c r="A180" s="4" t="s">
        <v>15263</v>
      </c>
      <c r="B180" s="4" t="s">
        <v>15264</v>
      </c>
    </row>
    <row r="181">
      <c r="A181" s="4" t="s">
        <v>15265</v>
      </c>
      <c r="B181" s="4" t="s">
        <v>15266</v>
      </c>
    </row>
    <row r="182">
      <c r="A182" s="4" t="s">
        <v>15267</v>
      </c>
      <c r="B182" s="4" t="s">
        <v>15268</v>
      </c>
    </row>
    <row r="183">
      <c r="A183" s="4" t="s">
        <v>15269</v>
      </c>
      <c r="B183" s="4" t="s">
        <v>15270</v>
      </c>
    </row>
    <row r="184">
      <c r="A184" s="4" t="s">
        <v>15271</v>
      </c>
      <c r="B184" s="4" t="s">
        <v>15272</v>
      </c>
    </row>
    <row r="185">
      <c r="A185" s="4" t="s">
        <v>15273</v>
      </c>
      <c r="B185" s="4" t="s">
        <v>15274</v>
      </c>
    </row>
    <row r="186">
      <c r="A186" s="4" t="s">
        <v>15275</v>
      </c>
      <c r="B186" s="4" t="s">
        <v>15276</v>
      </c>
    </row>
    <row r="187">
      <c r="A187" s="4" t="s">
        <v>15277</v>
      </c>
      <c r="B187" s="4" t="s">
        <v>15278</v>
      </c>
    </row>
    <row r="188">
      <c r="A188" s="4" t="s">
        <v>15279</v>
      </c>
      <c r="B188" s="4" t="s">
        <v>15280</v>
      </c>
    </row>
    <row r="189">
      <c r="A189" s="4" t="s">
        <v>15281</v>
      </c>
      <c r="B189" s="4" t="s">
        <v>15282</v>
      </c>
    </row>
    <row r="190">
      <c r="A190" s="4" t="s">
        <v>15283</v>
      </c>
      <c r="B190" s="4" t="s">
        <v>15284</v>
      </c>
    </row>
    <row r="191">
      <c r="A191" s="4" t="s">
        <v>15285</v>
      </c>
      <c r="B191" s="4" t="s">
        <v>15286</v>
      </c>
    </row>
    <row r="192">
      <c r="A192" s="4" t="s">
        <v>15287</v>
      </c>
      <c r="B192" s="4" t="s">
        <v>15288</v>
      </c>
    </row>
    <row r="193">
      <c r="A193" s="4" t="s">
        <v>15289</v>
      </c>
      <c r="B193" s="4" t="s">
        <v>15290</v>
      </c>
    </row>
    <row r="194">
      <c r="A194" s="4" t="s">
        <v>15291</v>
      </c>
      <c r="B194" s="4" t="s">
        <v>15292</v>
      </c>
    </row>
    <row r="195">
      <c r="A195" s="4" t="s">
        <v>15293</v>
      </c>
      <c r="B195" s="4" t="s">
        <v>15294</v>
      </c>
    </row>
    <row r="196">
      <c r="A196" s="4" t="s">
        <v>15295</v>
      </c>
      <c r="B196" s="4" t="s">
        <v>15296</v>
      </c>
    </row>
    <row r="197">
      <c r="A197" s="4" t="s">
        <v>15297</v>
      </c>
      <c r="B197" s="4" t="s">
        <v>15298</v>
      </c>
    </row>
    <row r="198">
      <c r="A198" s="4" t="s">
        <v>15299</v>
      </c>
      <c r="B198" s="4" t="s">
        <v>15300</v>
      </c>
    </row>
    <row r="199">
      <c r="A199" s="4" t="s">
        <v>15301</v>
      </c>
      <c r="B199" s="4" t="s">
        <v>15302</v>
      </c>
    </row>
    <row r="200">
      <c r="A200" s="4" t="s">
        <v>15303</v>
      </c>
      <c r="B200" s="4" t="s">
        <v>15304</v>
      </c>
    </row>
    <row r="201">
      <c r="A201" s="4" t="s">
        <v>15305</v>
      </c>
      <c r="B201" s="4" t="s">
        <v>15306</v>
      </c>
    </row>
    <row r="202">
      <c r="A202" s="4" t="s">
        <v>15307</v>
      </c>
      <c r="B202" s="4" t="s">
        <v>15308</v>
      </c>
    </row>
    <row r="203">
      <c r="A203" s="4" t="s">
        <v>15309</v>
      </c>
      <c r="B203" s="4" t="s">
        <v>15310</v>
      </c>
    </row>
    <row r="204">
      <c r="A204" s="4" t="s">
        <v>15311</v>
      </c>
      <c r="B204" s="4" t="s">
        <v>15312</v>
      </c>
    </row>
    <row r="205">
      <c r="A205" s="4" t="s">
        <v>15313</v>
      </c>
      <c r="B205" s="4" t="s">
        <v>15314</v>
      </c>
    </row>
    <row r="206">
      <c r="A206" s="4" t="s">
        <v>15315</v>
      </c>
      <c r="B206" s="4" t="s">
        <v>15316</v>
      </c>
    </row>
    <row r="207">
      <c r="A207" s="4" t="s">
        <v>15317</v>
      </c>
      <c r="B207" s="4" t="s">
        <v>15318</v>
      </c>
    </row>
    <row r="208">
      <c r="A208" s="4" t="s">
        <v>15319</v>
      </c>
      <c r="B208" s="4" t="s">
        <v>15320</v>
      </c>
    </row>
    <row r="209">
      <c r="A209" s="4" t="s">
        <v>15321</v>
      </c>
      <c r="B209" s="4" t="s">
        <v>15322</v>
      </c>
    </row>
    <row r="210">
      <c r="A210" s="4" t="s">
        <v>15323</v>
      </c>
      <c r="B210" s="4" t="s">
        <v>15324</v>
      </c>
    </row>
    <row r="211">
      <c r="A211" s="4" t="s">
        <v>15325</v>
      </c>
      <c r="B211" s="4" t="s">
        <v>15326</v>
      </c>
    </row>
    <row r="212">
      <c r="A212" s="4" t="s">
        <v>15327</v>
      </c>
      <c r="B212" s="4" t="s">
        <v>15328</v>
      </c>
    </row>
    <row r="213">
      <c r="A213" s="4" t="s">
        <v>15329</v>
      </c>
      <c r="B213" s="4" t="s">
        <v>15330</v>
      </c>
    </row>
    <row r="214">
      <c r="A214" s="4" t="s">
        <v>15331</v>
      </c>
      <c r="B214" s="4" t="s">
        <v>15332</v>
      </c>
    </row>
    <row r="215">
      <c r="A215" s="4" t="s">
        <v>15333</v>
      </c>
      <c r="B215" s="4" t="s">
        <v>15334</v>
      </c>
    </row>
    <row r="216">
      <c r="A216" s="4" t="s">
        <v>15335</v>
      </c>
      <c r="B216" s="4" t="s">
        <v>15336</v>
      </c>
    </row>
    <row r="217">
      <c r="A217" s="4" t="s">
        <v>15337</v>
      </c>
      <c r="B217" s="4" t="s">
        <v>15338</v>
      </c>
    </row>
    <row r="218">
      <c r="A218" s="4" t="s">
        <v>15339</v>
      </c>
      <c r="B218" s="4" t="s">
        <v>15340</v>
      </c>
    </row>
    <row r="219">
      <c r="A219" s="4" t="s">
        <v>15341</v>
      </c>
      <c r="B219" s="4" t="s">
        <v>15342</v>
      </c>
    </row>
    <row r="220">
      <c r="A220" s="4" t="s">
        <v>15343</v>
      </c>
      <c r="B220" s="4" t="s">
        <v>15344</v>
      </c>
    </row>
    <row r="221">
      <c r="A221" s="4" t="s">
        <v>15345</v>
      </c>
      <c r="B221" s="4" t="s">
        <v>15346</v>
      </c>
    </row>
    <row r="222">
      <c r="A222" s="4" t="s">
        <v>15347</v>
      </c>
      <c r="B222" s="4" t="s">
        <v>15348</v>
      </c>
    </row>
    <row r="223">
      <c r="A223" s="4" t="s">
        <v>15349</v>
      </c>
      <c r="B223" s="4" t="s">
        <v>15350</v>
      </c>
    </row>
    <row r="224">
      <c r="A224" s="4" t="s">
        <v>15351</v>
      </c>
      <c r="B224" s="4" t="s">
        <v>15352</v>
      </c>
    </row>
    <row r="225">
      <c r="A225" s="4" t="s">
        <v>15353</v>
      </c>
      <c r="B225" s="4" t="s">
        <v>15354</v>
      </c>
    </row>
    <row r="226">
      <c r="A226" s="4" t="s">
        <v>15355</v>
      </c>
      <c r="B226" s="4" t="s">
        <v>15356</v>
      </c>
    </row>
    <row r="227">
      <c r="A227" s="4" t="s">
        <v>15357</v>
      </c>
      <c r="B227" s="4" t="s">
        <v>15358</v>
      </c>
    </row>
    <row r="228">
      <c r="A228" s="4" t="s">
        <v>15359</v>
      </c>
      <c r="B228" s="4" t="s">
        <v>15360</v>
      </c>
    </row>
    <row r="229">
      <c r="A229" s="4" t="s">
        <v>15361</v>
      </c>
      <c r="B229" s="4" t="s">
        <v>15362</v>
      </c>
    </row>
    <row r="230">
      <c r="A230" s="4" t="s">
        <v>15363</v>
      </c>
      <c r="B230" s="4" t="s">
        <v>15364</v>
      </c>
    </row>
    <row r="231">
      <c r="A231" s="4" t="s">
        <v>15365</v>
      </c>
      <c r="B231" s="4" t="s">
        <v>15366</v>
      </c>
    </row>
    <row r="232">
      <c r="A232" s="4" t="s">
        <v>15367</v>
      </c>
      <c r="B232" s="4" t="s">
        <v>15368</v>
      </c>
    </row>
    <row r="233">
      <c r="A233" s="4" t="s">
        <v>15369</v>
      </c>
      <c r="B233" s="4" t="s">
        <v>15370</v>
      </c>
    </row>
    <row r="234">
      <c r="A234" s="4" t="s">
        <v>15371</v>
      </c>
      <c r="B234" s="4" t="s">
        <v>15372</v>
      </c>
    </row>
    <row r="235">
      <c r="A235" s="4" t="s">
        <v>15373</v>
      </c>
      <c r="B235" s="4" t="s">
        <v>15374</v>
      </c>
    </row>
    <row r="236">
      <c r="A236" s="4" t="s">
        <v>15375</v>
      </c>
      <c r="B236" s="4" t="s">
        <v>15376</v>
      </c>
    </row>
    <row r="237">
      <c r="A237" s="4" t="s">
        <v>15377</v>
      </c>
      <c r="B237" s="4" t="s">
        <v>15378</v>
      </c>
    </row>
    <row r="238">
      <c r="A238" s="4" t="s">
        <v>15379</v>
      </c>
      <c r="B238" s="4" t="s">
        <v>15380</v>
      </c>
    </row>
    <row r="239">
      <c r="A239" s="4" t="s">
        <v>15381</v>
      </c>
      <c r="B239" s="4" t="s">
        <v>15382</v>
      </c>
    </row>
    <row r="240">
      <c r="A240" s="4" t="s">
        <v>15383</v>
      </c>
      <c r="B240" s="4" t="s">
        <v>15384</v>
      </c>
    </row>
    <row r="241">
      <c r="A241" s="4" t="s">
        <v>15385</v>
      </c>
      <c r="B241" s="4" t="s">
        <v>15386</v>
      </c>
    </row>
    <row r="242">
      <c r="A242" s="4" t="s">
        <v>15387</v>
      </c>
      <c r="B242" s="4" t="s">
        <v>15388</v>
      </c>
    </row>
    <row r="243">
      <c r="A243" s="4" t="s">
        <v>15389</v>
      </c>
      <c r="B243" s="4" t="s">
        <v>15390</v>
      </c>
    </row>
    <row r="244">
      <c r="A244" s="4" t="s">
        <v>15391</v>
      </c>
      <c r="B244" s="4" t="s">
        <v>15392</v>
      </c>
    </row>
    <row r="245">
      <c r="A245" s="4" t="s">
        <v>15393</v>
      </c>
      <c r="B245" s="4" t="s">
        <v>15394</v>
      </c>
    </row>
    <row r="246">
      <c r="A246" s="4" t="s">
        <v>15395</v>
      </c>
      <c r="B246" s="4" t="s">
        <v>15396</v>
      </c>
    </row>
    <row r="247">
      <c r="A247" s="4" t="s">
        <v>15397</v>
      </c>
      <c r="B247" s="4" t="s">
        <v>15398</v>
      </c>
    </row>
    <row r="248">
      <c r="A248" s="4" t="s">
        <v>15399</v>
      </c>
      <c r="B248" s="4" t="s">
        <v>15400</v>
      </c>
    </row>
    <row r="249">
      <c r="A249" s="4" t="s">
        <v>15401</v>
      </c>
      <c r="B249" s="4" t="s">
        <v>15402</v>
      </c>
    </row>
    <row r="250">
      <c r="A250" s="4" t="s">
        <v>15403</v>
      </c>
      <c r="B250" s="4" t="s">
        <v>15404</v>
      </c>
    </row>
    <row r="251">
      <c r="A251" s="4" t="s">
        <v>15405</v>
      </c>
      <c r="B251" s="4" t="s">
        <v>15406</v>
      </c>
    </row>
    <row r="252">
      <c r="A252" s="4" t="s">
        <v>15407</v>
      </c>
      <c r="B252" s="4" t="s">
        <v>15408</v>
      </c>
    </row>
    <row r="253">
      <c r="A253" s="4" t="s">
        <v>15409</v>
      </c>
      <c r="B253" s="4" t="s">
        <v>15410</v>
      </c>
    </row>
    <row r="254">
      <c r="A254" s="4" t="s">
        <v>15411</v>
      </c>
      <c r="B254" s="4" t="s">
        <v>15412</v>
      </c>
    </row>
    <row r="255">
      <c r="A255" s="4" t="s">
        <v>15413</v>
      </c>
      <c r="B255" s="4" t="s">
        <v>15414</v>
      </c>
    </row>
    <row r="256">
      <c r="A256" s="4" t="s">
        <v>15415</v>
      </c>
      <c r="B256" s="4" t="s">
        <v>15416</v>
      </c>
    </row>
    <row r="257">
      <c r="A257" s="4" t="s">
        <v>15417</v>
      </c>
      <c r="B257" s="4" t="s">
        <v>15418</v>
      </c>
    </row>
    <row r="258">
      <c r="A258" s="4" t="s">
        <v>15419</v>
      </c>
      <c r="B258" s="4" t="s">
        <v>15420</v>
      </c>
    </row>
    <row r="259">
      <c r="A259" s="4" t="s">
        <v>15421</v>
      </c>
      <c r="B259" s="4" t="s">
        <v>15422</v>
      </c>
    </row>
    <row r="260">
      <c r="A260" s="4" t="s">
        <v>15423</v>
      </c>
      <c r="B260" s="4" t="s">
        <v>15424</v>
      </c>
    </row>
    <row r="261">
      <c r="A261" s="4" t="s">
        <v>15425</v>
      </c>
      <c r="B261" s="4" t="s">
        <v>15426</v>
      </c>
    </row>
    <row r="262">
      <c r="A262" s="4" t="s">
        <v>15427</v>
      </c>
      <c r="B262" s="4" t="s">
        <v>15428</v>
      </c>
    </row>
    <row r="263">
      <c r="A263" s="4" t="s">
        <v>15429</v>
      </c>
      <c r="B263" s="4" t="s">
        <v>15430</v>
      </c>
    </row>
    <row r="264">
      <c r="A264" s="4" t="s">
        <v>15431</v>
      </c>
      <c r="B264" s="4" t="s">
        <v>15432</v>
      </c>
    </row>
    <row r="265">
      <c r="A265" s="4" t="s">
        <v>15433</v>
      </c>
      <c r="B265" s="4" t="s">
        <v>15434</v>
      </c>
    </row>
    <row r="266">
      <c r="A266" s="4" t="s">
        <v>15435</v>
      </c>
      <c r="B266" s="4" t="s">
        <v>15436</v>
      </c>
    </row>
    <row r="267">
      <c r="A267" s="4" t="s">
        <v>15437</v>
      </c>
      <c r="B267" s="4" t="s">
        <v>15438</v>
      </c>
    </row>
    <row r="268">
      <c r="A268" s="4" t="s">
        <v>15439</v>
      </c>
      <c r="B268" s="4" t="s">
        <v>15440</v>
      </c>
    </row>
    <row r="269">
      <c r="A269" s="4" t="s">
        <v>15441</v>
      </c>
      <c r="B269" s="4" t="s">
        <v>15442</v>
      </c>
    </row>
    <row r="270">
      <c r="A270" s="4" t="s">
        <v>15443</v>
      </c>
      <c r="B270" s="4" t="s">
        <v>15444</v>
      </c>
    </row>
    <row r="271">
      <c r="A271" s="4" t="s">
        <v>15445</v>
      </c>
      <c r="B271" s="4" t="s">
        <v>15446</v>
      </c>
    </row>
    <row r="272">
      <c r="A272" s="4" t="s">
        <v>15447</v>
      </c>
      <c r="B272" s="4" t="s">
        <v>15448</v>
      </c>
    </row>
    <row r="273">
      <c r="A273" s="4" t="s">
        <v>15449</v>
      </c>
      <c r="B273" s="4" t="s">
        <v>15450</v>
      </c>
    </row>
    <row r="274">
      <c r="A274" s="4" t="s">
        <v>15451</v>
      </c>
      <c r="B274" s="4" t="s">
        <v>15452</v>
      </c>
    </row>
    <row r="275">
      <c r="A275" s="4" t="s">
        <v>15453</v>
      </c>
      <c r="B275" s="4" t="s">
        <v>15454</v>
      </c>
    </row>
    <row r="276">
      <c r="A276" s="4" t="s">
        <v>15455</v>
      </c>
      <c r="B276" s="4" t="s">
        <v>15456</v>
      </c>
    </row>
    <row r="277">
      <c r="A277" s="4" t="s">
        <v>15457</v>
      </c>
      <c r="B277" s="4" t="s">
        <v>15458</v>
      </c>
    </row>
    <row r="278">
      <c r="A278" s="4" t="s">
        <v>15459</v>
      </c>
      <c r="B278" s="4" t="s">
        <v>15460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15461</v>
      </c>
      <c r="B1" s="4" t="s">
        <v>15462</v>
      </c>
    </row>
  </sheetData>
  <drawing r:id="rId1"/>
</worksheet>
</file>